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PTREINAMENTOS\PPT\23. Marketing\Materiais gratuitos\DOCUMENTOS PARA EDITAR\"/>
    </mc:Choice>
  </mc:AlternateContent>
  <xr:revisionPtr revIDLastSave="0" documentId="13_ncr:1_{50DDD5B5-A6FA-48F3-AA59-0E4B2B5FB286}" xr6:coauthVersionLast="47" xr6:coauthVersionMax="47" xr10:uidLastSave="{00000000-0000-0000-0000-000000000000}"/>
  <bookViews>
    <workbookView xWindow="-120" yWindow="-120" windowWidth="20730" windowHeight="11040" tabRatio="709" firstSheet="5" activeTab="5" xr2:uid="{00000000-000D-0000-FFFF-FFFF00000000}"/>
  </bookViews>
  <sheets>
    <sheet name="ANEXO 3" sheetId="14" state="hidden" r:id="rId1"/>
    <sheet name="ANEXO 5" sheetId="16" state="hidden" r:id="rId2"/>
    <sheet name="Carnê Leão" sheetId="21" state="hidden" r:id="rId3"/>
    <sheet name="Lucro Presumido" sheetId="12" state="hidden" r:id="rId4"/>
    <sheet name="resumo" sheetId="19" state="hidden" r:id="rId5"/>
    <sheet name="CALCULADORA" sheetId="11" r:id="rId6"/>
    <sheet name="APRESENTACAO" sheetId="22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22" l="1"/>
  <c r="T4" i="11"/>
  <c r="G34" i="11"/>
  <c r="M34" i="11"/>
  <c r="P34" i="11"/>
  <c r="S34" i="11"/>
  <c r="V34" i="11"/>
  <c r="C19" i="11"/>
  <c r="C25" i="11"/>
  <c r="P26" i="11" s="1"/>
  <c r="P27" i="11" s="1"/>
  <c r="C24" i="11"/>
  <c r="M6" i="11"/>
  <c r="N5" i="22" s="1"/>
  <c r="V21" i="11"/>
  <c r="C22" i="11"/>
  <c r="C27" i="11"/>
  <c r="S26" i="11" l="1"/>
  <c r="S27" i="11" s="1"/>
  <c r="P29" i="11"/>
  <c r="V26" i="11"/>
  <c r="V27" i="11" s="1"/>
  <c r="V28" i="11"/>
  <c r="B1" i="21"/>
  <c r="B2" i="21" s="1"/>
  <c r="C28" i="11"/>
  <c r="G27" i="11" s="1"/>
  <c r="S29" i="11" l="1"/>
  <c r="V29" i="11"/>
  <c r="V30" i="11" s="1"/>
  <c r="Q20" i="22"/>
  <c r="G32" i="11"/>
  <c r="M26" i="11"/>
  <c r="M27" i="11" s="1"/>
  <c r="J26" i="11"/>
  <c r="J27" i="11" s="1"/>
  <c r="V31" i="11" l="1"/>
  <c r="V32" i="11" s="1"/>
  <c r="E20" i="22"/>
  <c r="F29" i="22" s="1"/>
  <c r="B4" i="21"/>
  <c r="B5" i="21" s="1"/>
  <c r="B7" i="21" s="1"/>
  <c r="B11" i="21" s="1"/>
  <c r="B20" i="22"/>
  <c r="C29" i="22" s="1"/>
  <c r="M29" i="11"/>
  <c r="G41" i="11"/>
  <c r="J41" i="11"/>
  <c r="J29" i="11"/>
  <c r="S28" i="11"/>
  <c r="N20" i="22" s="1"/>
  <c r="B10" i="21" l="1"/>
  <c r="B12" i="21" s="1"/>
  <c r="C16" i="19" s="1"/>
  <c r="G25" i="11" s="1"/>
  <c r="B17" i="22" s="1"/>
  <c r="C28" i="22" s="1"/>
  <c r="Q23" i="22"/>
  <c r="R29" i="22" s="1"/>
  <c r="V33" i="11"/>
  <c r="V35" i="11" s="1"/>
  <c r="P28" i="11"/>
  <c r="K20" i="22" s="1"/>
  <c r="B27" i="22" l="1"/>
  <c r="B31" i="22" s="1"/>
  <c r="G38" i="11"/>
  <c r="G44" i="11" s="1"/>
  <c r="G47" i="11" s="1"/>
  <c r="P30" i="11"/>
  <c r="P20" i="11"/>
  <c r="P31" i="11" l="1"/>
  <c r="M28" i="11"/>
  <c r="H20" i="22" s="1"/>
  <c r="C3" i="12"/>
  <c r="D3" i="12"/>
  <c r="E3" i="12"/>
  <c r="F3" i="12"/>
  <c r="G3" i="12"/>
  <c r="H3" i="12"/>
  <c r="I3" i="12"/>
  <c r="J3" i="12"/>
  <c r="K3" i="12"/>
  <c r="L3" i="12"/>
  <c r="M3" i="12"/>
  <c r="B2" i="12"/>
  <c r="C2" i="12" s="1"/>
  <c r="D2" i="12" s="1"/>
  <c r="E2" i="12" s="1"/>
  <c r="F2" i="12" s="1"/>
  <c r="G2" i="12" s="1"/>
  <c r="H2" i="12" s="1"/>
  <c r="I2" i="12" s="1"/>
  <c r="J2" i="12" s="1"/>
  <c r="K2" i="12" s="1"/>
  <c r="L2" i="12" s="1"/>
  <c r="M2" i="12" s="1"/>
  <c r="B3" i="12"/>
  <c r="M3" i="16"/>
  <c r="L3" i="16"/>
  <c r="K3" i="16"/>
  <c r="J3" i="16"/>
  <c r="I3" i="16"/>
  <c r="H3" i="16"/>
  <c r="G3" i="16"/>
  <c r="F3" i="16"/>
  <c r="E3" i="16"/>
  <c r="D3" i="16"/>
  <c r="C3" i="16"/>
  <c r="B3" i="16"/>
  <c r="B2" i="16"/>
  <c r="M3" i="14"/>
  <c r="L3" i="14"/>
  <c r="K3" i="14"/>
  <c r="J3" i="14"/>
  <c r="I3" i="14"/>
  <c r="H3" i="14"/>
  <c r="G3" i="14"/>
  <c r="F3" i="14"/>
  <c r="E3" i="14"/>
  <c r="D3" i="14"/>
  <c r="C3" i="14"/>
  <c r="B3" i="14"/>
  <c r="B2" i="14"/>
  <c r="C2" i="14" s="1"/>
  <c r="M20" i="11"/>
  <c r="P32" i="11" l="1"/>
  <c r="S31" i="11"/>
  <c r="S30" i="11"/>
  <c r="M4" i="12"/>
  <c r="M8" i="12" s="1"/>
  <c r="E4" i="12"/>
  <c r="E11" i="12" s="1"/>
  <c r="L4" i="12"/>
  <c r="L6" i="12" s="1"/>
  <c r="D4" i="12"/>
  <c r="D6" i="12" s="1"/>
  <c r="B4" i="12"/>
  <c r="B6" i="12" s="1"/>
  <c r="G4" i="12"/>
  <c r="G8" i="12" s="1"/>
  <c r="J4" i="12"/>
  <c r="J9" i="12" s="1"/>
  <c r="F4" i="12"/>
  <c r="F8" i="12" s="1"/>
  <c r="I4" i="12"/>
  <c r="I8" i="12" s="1"/>
  <c r="B4" i="16"/>
  <c r="C2" i="16"/>
  <c r="C4" i="16" s="1"/>
  <c r="H4" i="12"/>
  <c r="H11" i="12" s="1"/>
  <c r="K4" i="12"/>
  <c r="K6" i="12" s="1"/>
  <c r="C4" i="12"/>
  <c r="C6" i="12" s="1"/>
  <c r="O3" i="12"/>
  <c r="O4" i="12" s="1"/>
  <c r="D2" i="14"/>
  <c r="C4" i="14"/>
  <c r="B4" i="14"/>
  <c r="P33" i="11" l="1"/>
  <c r="P35" i="11" s="1"/>
  <c r="P41" i="11" s="1"/>
  <c r="K23" i="22"/>
  <c r="L29" i="22" s="1"/>
  <c r="J30" i="11"/>
  <c r="J31" i="11"/>
  <c r="S32" i="11"/>
  <c r="F10" i="12"/>
  <c r="M30" i="11"/>
  <c r="I6" i="12"/>
  <c r="E10" i="12"/>
  <c r="J10" i="12"/>
  <c r="M31" i="11"/>
  <c r="D11" i="12"/>
  <c r="D10" i="12"/>
  <c r="I11" i="12"/>
  <c r="F11" i="12"/>
  <c r="D9" i="12"/>
  <c r="F6" i="12"/>
  <c r="I10" i="12"/>
  <c r="I7" i="12"/>
  <c r="B7" i="12"/>
  <c r="M10" i="12"/>
  <c r="B9" i="12"/>
  <c r="H6" i="12"/>
  <c r="I9" i="12"/>
  <c r="M7" i="12"/>
  <c r="M11" i="12"/>
  <c r="K11" i="12"/>
  <c r="K7" i="12"/>
  <c r="L7" i="12"/>
  <c r="L10" i="12"/>
  <c r="J8" i="12"/>
  <c r="L9" i="12"/>
  <c r="G10" i="12"/>
  <c r="L8" i="12"/>
  <c r="F9" i="12"/>
  <c r="L11" i="12"/>
  <c r="B8" i="12"/>
  <c r="C11" i="12"/>
  <c r="B11" i="12"/>
  <c r="B10" i="12"/>
  <c r="J11" i="12"/>
  <c r="C10" i="12"/>
  <c r="E9" i="12"/>
  <c r="K9" i="12"/>
  <c r="D7" i="12"/>
  <c r="C7" i="12"/>
  <c r="G6" i="12"/>
  <c r="C8" i="12"/>
  <c r="E7" i="12"/>
  <c r="M9" i="12"/>
  <c r="D8" i="12"/>
  <c r="C9" i="12"/>
  <c r="G9" i="12"/>
  <c r="E8" i="12"/>
  <c r="E6" i="12"/>
  <c r="J7" i="12"/>
  <c r="M6" i="12"/>
  <c r="F7" i="12"/>
  <c r="J6" i="12"/>
  <c r="K8" i="12"/>
  <c r="G11" i="12"/>
  <c r="K10" i="12"/>
  <c r="G7" i="12"/>
  <c r="D2" i="16"/>
  <c r="E2" i="16" s="1"/>
  <c r="H7" i="12"/>
  <c r="H8" i="12"/>
  <c r="H9" i="12"/>
  <c r="H10" i="12"/>
  <c r="E2" i="14"/>
  <c r="D4" i="14"/>
  <c r="C7" i="16"/>
  <c r="B7" i="16"/>
  <c r="B7" i="14"/>
  <c r="B13" i="14" s="1"/>
  <c r="C7" i="14"/>
  <c r="C13" i="14" s="1"/>
  <c r="S33" i="11" l="1"/>
  <c r="S35" i="11" s="1"/>
  <c r="N23" i="22"/>
  <c r="O29" i="22" s="1"/>
  <c r="J32" i="11"/>
  <c r="E23" i="22" s="1"/>
  <c r="V41" i="11"/>
  <c r="M32" i="11"/>
  <c r="E12" i="12"/>
  <c r="M12" i="12"/>
  <c r="F12" i="12"/>
  <c r="L12" i="12"/>
  <c r="I12" i="12"/>
  <c r="B12" i="12"/>
  <c r="D12" i="12"/>
  <c r="J12" i="12"/>
  <c r="O6" i="12"/>
  <c r="C6" i="19" s="1"/>
  <c r="S19" i="11" s="1"/>
  <c r="G12" i="12"/>
  <c r="K12" i="12"/>
  <c r="O9" i="12"/>
  <c r="C9" i="19" s="1"/>
  <c r="O7" i="12"/>
  <c r="C7" i="19" s="1"/>
  <c r="S20" i="11" s="1"/>
  <c r="C12" i="12"/>
  <c r="O8" i="12"/>
  <c r="C8" i="19" s="1"/>
  <c r="H12" i="12"/>
  <c r="O11" i="12"/>
  <c r="C11" i="19" s="1"/>
  <c r="O10" i="12"/>
  <c r="C10" i="19" s="1"/>
  <c r="D4" i="16"/>
  <c r="D7" i="16" s="1"/>
  <c r="D8" i="16" s="1"/>
  <c r="E4" i="16"/>
  <c r="F2" i="16"/>
  <c r="E4" i="14"/>
  <c r="F2" i="14"/>
  <c r="B8" i="16"/>
  <c r="B9" i="16"/>
  <c r="C8" i="14"/>
  <c r="C9" i="14"/>
  <c r="B9" i="14"/>
  <c r="B8" i="14"/>
  <c r="C8" i="16"/>
  <c r="C9" i="16"/>
  <c r="M33" i="11" l="1"/>
  <c r="M35" i="11" s="1"/>
  <c r="M41" i="11" s="1"/>
  <c r="H23" i="22"/>
  <c r="I29" i="22" s="1"/>
  <c r="J38" i="11"/>
  <c r="J44" i="11" s="1"/>
  <c r="J47" i="11" s="1"/>
  <c r="S41" i="11"/>
  <c r="V22" i="11"/>
  <c r="S23" i="11"/>
  <c r="V23" i="11"/>
  <c r="V19" i="11"/>
  <c r="V20" i="11"/>
  <c r="S21" i="11"/>
  <c r="S22" i="11"/>
  <c r="O12" i="12"/>
  <c r="C12" i="19" s="1"/>
  <c r="D9" i="16"/>
  <c r="D10" i="16" s="1"/>
  <c r="D11" i="16" s="1"/>
  <c r="G2" i="16"/>
  <c r="F4" i="16"/>
  <c r="F7" i="16" s="1"/>
  <c r="F4" i="14"/>
  <c r="G2" i="14"/>
  <c r="B10" i="16"/>
  <c r="B11" i="16" s="1"/>
  <c r="C10" i="16"/>
  <c r="C11" i="16" s="1"/>
  <c r="C10" i="14"/>
  <c r="B10" i="14"/>
  <c r="E7" i="16"/>
  <c r="E7" i="14"/>
  <c r="E13" i="14" s="1"/>
  <c r="D7" i="14"/>
  <c r="D13" i="14" s="1"/>
  <c r="E27" i="22" l="1"/>
  <c r="E31" i="22" s="1"/>
  <c r="F28" i="22"/>
  <c r="B11" i="14"/>
  <c r="B14" i="14" s="1"/>
  <c r="C11" i="14"/>
  <c r="C14" i="14" s="1"/>
  <c r="V24" i="11"/>
  <c r="V25" i="11" s="1"/>
  <c r="Q17" i="22" s="1"/>
  <c r="S24" i="11"/>
  <c r="S25" i="11" s="1"/>
  <c r="N17" i="22" s="1"/>
  <c r="H2" i="16"/>
  <c r="G4" i="16"/>
  <c r="H2" i="14"/>
  <c r="G4" i="14"/>
  <c r="E9" i="16"/>
  <c r="E8" i="16"/>
  <c r="E8" i="14"/>
  <c r="E9" i="14"/>
  <c r="F9" i="16"/>
  <c r="F8" i="16"/>
  <c r="D8" i="14"/>
  <c r="D9" i="14"/>
  <c r="N27" i="22" l="1"/>
  <c r="N31" i="22" s="1"/>
  <c r="O28" i="22"/>
  <c r="V38" i="11"/>
  <c r="V44" i="11" s="1"/>
  <c r="V47" i="11" s="1"/>
  <c r="S38" i="11"/>
  <c r="S44" i="11" s="1"/>
  <c r="S47" i="11" s="1"/>
  <c r="I2" i="16"/>
  <c r="H4" i="16"/>
  <c r="I2" i="14"/>
  <c r="H4" i="14"/>
  <c r="F10" i="16"/>
  <c r="F11" i="16" s="1"/>
  <c r="E10" i="16"/>
  <c r="E11" i="16" s="1"/>
  <c r="E10" i="14"/>
  <c r="D10" i="14"/>
  <c r="G7" i="16"/>
  <c r="F7" i="14"/>
  <c r="F13" i="14" s="1"/>
  <c r="Q27" i="22" l="1"/>
  <c r="Q31" i="22" s="1"/>
  <c r="R28" i="22"/>
  <c r="D11" i="14"/>
  <c r="D14" i="14" s="1"/>
  <c r="E11" i="14"/>
  <c r="E14" i="14" s="1"/>
  <c r="J2" i="16"/>
  <c r="I4" i="16"/>
  <c r="J2" i="14"/>
  <c r="I4" i="14"/>
  <c r="G8" i="16"/>
  <c r="G9" i="16"/>
  <c r="F8" i="14"/>
  <c r="F9" i="14"/>
  <c r="H7" i="16"/>
  <c r="G7" i="14"/>
  <c r="G13" i="14" s="1"/>
  <c r="J4" i="16" l="1"/>
  <c r="K2" i="16"/>
  <c r="K2" i="14"/>
  <c r="J4" i="14"/>
  <c r="F10" i="14"/>
  <c r="G10" i="16"/>
  <c r="G11" i="16" s="1"/>
  <c r="H8" i="16"/>
  <c r="H9" i="16"/>
  <c r="G9" i="14"/>
  <c r="G8" i="14"/>
  <c r="I7" i="16"/>
  <c r="H7" i="14"/>
  <c r="H13" i="14" s="1"/>
  <c r="I7" i="14"/>
  <c r="I13" i="14" s="1"/>
  <c r="F11" i="14" l="1"/>
  <c r="F14" i="14" s="1"/>
  <c r="L2" i="16"/>
  <c r="K4" i="16"/>
  <c r="K7" i="16" s="1"/>
  <c r="L2" i="14"/>
  <c r="K4" i="14"/>
  <c r="H10" i="16"/>
  <c r="H11" i="16" s="1"/>
  <c r="G10" i="14"/>
  <c r="I9" i="14"/>
  <c r="I8" i="14"/>
  <c r="I8" i="16"/>
  <c r="I9" i="16"/>
  <c r="H9" i="14"/>
  <c r="H8" i="14"/>
  <c r="J7" i="16"/>
  <c r="G11" i="14" l="1"/>
  <c r="G14" i="14" s="1"/>
  <c r="M2" i="16"/>
  <c r="M4" i="16" s="1"/>
  <c r="L4" i="16"/>
  <c r="M2" i="14"/>
  <c r="M4" i="14" s="1"/>
  <c r="L4" i="14"/>
  <c r="H10" i="14"/>
  <c r="K9" i="16"/>
  <c r="K8" i="16"/>
  <c r="J8" i="16"/>
  <c r="J9" i="16"/>
  <c r="I10" i="14"/>
  <c r="I10" i="16"/>
  <c r="I11" i="16" s="1"/>
  <c r="O3" i="14"/>
  <c r="J7" i="14"/>
  <c r="J13" i="14" s="1"/>
  <c r="H11" i="14" l="1"/>
  <c r="H14" i="14" s="1"/>
  <c r="I11" i="14"/>
  <c r="I14" i="14" s="1"/>
  <c r="O2" i="16"/>
  <c r="K10" i="16"/>
  <c r="K11" i="16" s="1"/>
  <c r="J10" i="16"/>
  <c r="J11" i="16" s="1"/>
  <c r="J8" i="14"/>
  <c r="J9" i="14"/>
  <c r="O3" i="16"/>
  <c r="L7" i="16"/>
  <c r="K7" i="14"/>
  <c r="K13" i="14" s="1"/>
  <c r="J10" i="14" l="1"/>
  <c r="K8" i="14"/>
  <c r="K9" i="14"/>
  <c r="L9" i="16"/>
  <c r="L8" i="16"/>
  <c r="M7" i="16"/>
  <c r="O4" i="16"/>
  <c r="L7" i="14"/>
  <c r="L13" i="14" s="1"/>
  <c r="O2" i="14"/>
  <c r="J11" i="14" l="1"/>
  <c r="J14" i="14" s="1"/>
  <c r="L10" i="16"/>
  <c r="L11" i="16" s="1"/>
  <c r="L8" i="14"/>
  <c r="L9" i="14"/>
  <c r="M9" i="16"/>
  <c r="M8" i="16"/>
  <c r="K10" i="14"/>
  <c r="M7" i="14"/>
  <c r="M13" i="14" s="1"/>
  <c r="O4" i="14"/>
  <c r="K11" i="14" l="1"/>
  <c r="K14" i="14" s="1"/>
  <c r="M10" i="16"/>
  <c r="M11" i="16" s="1"/>
  <c r="O11" i="16" s="1"/>
  <c r="C3" i="19" s="1"/>
  <c r="P19" i="11" s="1"/>
  <c r="P24" i="11" s="1"/>
  <c r="P25" i="11" s="1"/>
  <c r="K17" i="22" s="1"/>
  <c r="L10" i="14"/>
  <c r="M8" i="14"/>
  <c r="M9" i="14"/>
  <c r="K27" i="22" l="1"/>
  <c r="K31" i="22" s="1"/>
  <c r="L28" i="22"/>
  <c r="L11" i="14"/>
  <c r="L14" i="14" s="1"/>
  <c r="P38" i="11"/>
  <c r="P44" i="11" s="1"/>
  <c r="P47" i="11" s="1"/>
  <c r="M10" i="14"/>
  <c r="M11" i="14" l="1"/>
  <c r="O11" i="14" l="1"/>
  <c r="C2" i="19" s="1"/>
  <c r="M19" i="11" s="1"/>
  <c r="M24" i="11" s="1"/>
  <c r="M25" i="11" s="1"/>
  <c r="H17" i="22" s="1"/>
  <c r="M14" i="14"/>
  <c r="O14" i="14" s="1"/>
  <c r="R6" i="11" s="1"/>
  <c r="L8" i="11" s="1"/>
  <c r="L14" i="11" s="1"/>
  <c r="H33" i="22" s="1"/>
  <c r="J24" i="11"/>
  <c r="J25" i="11" s="1"/>
  <c r="M38" i="11" l="1"/>
  <c r="M44" i="11" s="1"/>
  <c r="M47" i="11" s="1"/>
  <c r="H27" i="22" l="1"/>
  <c r="H31" i="22" s="1"/>
</calcChain>
</file>

<file path=xl/sharedStrings.xml><?xml version="1.0" encoding="utf-8"?>
<sst xmlns="http://schemas.openxmlformats.org/spreadsheetml/2006/main" count="301" uniqueCount="124">
  <si>
    <t>FATURAMENTO</t>
  </si>
  <si>
    <t>VENDA</t>
  </si>
  <si>
    <t>SERVIÇOS</t>
  </si>
  <si>
    <t>ALÍQUOTA</t>
  </si>
  <si>
    <t>SIMPLES DAS</t>
  </si>
  <si>
    <t>Rec Bruta últ 12 meses</t>
  </si>
  <si>
    <t>DEDUÇÃO</t>
  </si>
  <si>
    <t>ALÍQ EFETIVA</t>
  </si>
  <si>
    <t>Faixa</t>
  </si>
  <si>
    <t>Alíquota</t>
  </si>
  <si>
    <t>Valor a Deduzir (em R$)</t>
  </si>
  <si>
    <t>Receita Bruta em 12 Meses (em R$)</t>
  </si>
  <si>
    <t>1a Faixa</t>
  </si>
  <si>
    <t>–</t>
  </si>
  <si>
    <t>Até 180.000,00</t>
  </si>
  <si>
    <t>2a Faixa</t>
  </si>
  <si>
    <t>De 180.000,01 a 360.000,00</t>
  </si>
  <si>
    <t>3a Faixa</t>
  </si>
  <si>
    <t>De 360.000,01 a 720.000,00</t>
  </si>
  <si>
    <t>4a Faixa</t>
  </si>
  <si>
    <t>De 720.000,01 a 1.800.000,00</t>
  </si>
  <si>
    <t>5a Faixa</t>
  </si>
  <si>
    <t>De 1.800.000,01 a 3.600.000,00</t>
  </si>
  <si>
    <t>6a Faixa</t>
  </si>
  <si>
    <t>De 3.600.000,01 a 4.800.000,00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</si>
  <si>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</si>
  <si>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</si>
  <si>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</si>
  <si>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</si>
  <si>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</si>
  <si>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</si>
  <si>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</si>
  <si>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</si>
  <si>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</si>
  <si>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</si>
  <si>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</si>
  <si>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</si>
  <si>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</si>
  <si>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ANEXO 3 – Tabela Simples Nacional 2018 – Serviços</t>
  </si>
  <si>
    <t>ANEXO 5 – Tabela Simples Nacional 2018 – Serviços</t>
  </si>
  <si>
    <t>PIS</t>
  </si>
  <si>
    <t>COFINS</t>
  </si>
  <si>
    <t>ISS</t>
  </si>
  <si>
    <t>IRPJ</t>
  </si>
  <si>
    <t>LUCRO PRESUMIDO</t>
  </si>
  <si>
    <t>ADCIONAL IRPJ</t>
  </si>
  <si>
    <t>CSLL</t>
  </si>
  <si>
    <t>PRESUMIDO</t>
  </si>
  <si>
    <t>BASE DE CÁLCULO IR</t>
  </si>
  <si>
    <t>BASE DE CÁLCULO CS</t>
  </si>
  <si>
    <t>Anexo 3</t>
  </si>
  <si>
    <t>Anexo 5</t>
  </si>
  <si>
    <t>IR</t>
  </si>
  <si>
    <t>Presumido</t>
  </si>
  <si>
    <t>QTD SÓCIOS</t>
  </si>
  <si>
    <t>INSS</t>
  </si>
  <si>
    <t>alíquota</t>
  </si>
  <si>
    <t>dedução</t>
  </si>
  <si>
    <t>faixa</t>
  </si>
  <si>
    <t>Impostos sobre 
pró-labore</t>
  </si>
  <si>
    <t>INSS PARTE 
EMPRESA</t>
  </si>
  <si>
    <t>DAS MÊS</t>
  </si>
  <si>
    <t>DAS ANO</t>
  </si>
  <si>
    <t>Impostos Ano</t>
  </si>
  <si>
    <t>Impostos Mês</t>
  </si>
  <si>
    <t>SÓCIOS</t>
  </si>
  <si>
    <t>Impostos sobre 
pró-labore TOTAL</t>
  </si>
  <si>
    <t>PRÓ-LABORE opção 3</t>
  </si>
  <si>
    <t>SIMPLES NACIONAL 
ANEXO 5</t>
  </si>
  <si>
    <t>SIMPLES NACIONAL 
ANEXO 3</t>
  </si>
  <si>
    <t>CLT</t>
  </si>
  <si>
    <t>PRÓ LABORE OBRIGATÓRIO</t>
  </si>
  <si>
    <t>CARNÊ LEÃO</t>
  </si>
  <si>
    <t>Despesas Dedutíveis</t>
  </si>
  <si>
    <t>DESP. DEDUTÍVEL</t>
  </si>
  <si>
    <t>LÍQUIDO</t>
  </si>
  <si>
    <t>Carnê Leão</t>
  </si>
  <si>
    <t>Impostos Mês (IR)</t>
  </si>
  <si>
    <t>DESPESA MENSAL</t>
  </si>
  <si>
    <t>ATUANDO COMO PF ou CLT</t>
  </si>
  <si>
    <t>CPP</t>
  </si>
  <si>
    <t>VALOR DE IMPOSTO A PAGAR</t>
  </si>
  <si>
    <t>IMPOSTOS SOBRE PRÓ LABORE</t>
  </si>
  <si>
    <t>VALOR DE IMPOSTOS</t>
  </si>
  <si>
    <t>ALÍQUOTA EFETIVA</t>
  </si>
  <si>
    <t>VALOR DE DAS A PAGAR</t>
  </si>
  <si>
    <t>CPP R$</t>
  </si>
  <si>
    <t>CPP %</t>
  </si>
  <si>
    <t>FGTS 8%</t>
  </si>
  <si>
    <t>LUCRO PRESUMIDO 
UNIPROFISSIONAL</t>
  </si>
  <si>
    <t>ISS UNIPROFISSIONAL 2021</t>
  </si>
  <si>
    <t>PRÓ LABORE LP ou ANEXO 5</t>
  </si>
  <si>
    <t>PRÓ-LABORE opção 5 ou LP</t>
  </si>
  <si>
    <t>VENDA DE PRODUTOS</t>
  </si>
  <si>
    <t>FATURAMENTO SERVIÇOS</t>
  </si>
  <si>
    <t>Base de INSS Carnê Leão</t>
  </si>
  <si>
    <t>FATURAMENTO MENSAL</t>
  </si>
  <si>
    <t>CNPJ</t>
  </si>
  <si>
    <t>DAS a pagar:</t>
  </si>
  <si>
    <t>INSS Pró-Labore:</t>
  </si>
  <si>
    <t>IRRF Pró-Labore:</t>
  </si>
  <si>
    <t>Impostos a Pagar:</t>
  </si>
  <si>
    <t>ALÍQUOTA FINAL EFETIVA</t>
  </si>
  <si>
    <t>IR Carnê Leão a pagar:</t>
  </si>
  <si>
    <t>LUCRO 
PRESUMIDO</t>
  </si>
  <si>
    <t>FOLHA + PRÓ LABORE</t>
  </si>
  <si>
    <t>Impostos:</t>
  </si>
  <si>
    <t>INSS Salário:</t>
  </si>
  <si>
    <t>IR Salário:</t>
  </si>
  <si>
    <t>IMPOSTOS A PAGAR:</t>
  </si>
  <si>
    <t>JÁ RECOLHE INSS NO TETO?</t>
  </si>
  <si>
    <t>FOLHA DE PAGAMENTO</t>
  </si>
  <si>
    <t>ALÍQ IR</t>
  </si>
  <si>
    <t>ALÍQ INSS</t>
  </si>
  <si>
    <t>ALÍQ DAS</t>
  </si>
  <si>
    <t>ALÍQ INSS + IR</t>
  </si>
  <si>
    <t>+</t>
  </si>
  <si>
    <t>VENDA DE SERVIÇOS 2</t>
  </si>
  <si>
    <t>ALÍQ IMPOSTO</t>
  </si>
  <si>
    <t>PLANEJAMENTO TRIBUTÁRIO FATOR 'R'</t>
  </si>
  <si>
    <t>NÃ0</t>
  </si>
  <si>
    <t>PLANEJAMENTO TRIBUTÁRIO FATOR R</t>
  </si>
  <si>
    <t>PF OU CLT</t>
  </si>
  <si>
    <t>CALCULADORA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</si>
</sst>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&quot;R$&quot;\ #,##0.00"/>
  </numFmts>
  <fonts count="7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b/>
      <sz val="24"/>
      <color theme="1"/>
      <name val="Arial"/>
      <family val="2"/>
    </font>
    <font>
      <b/>
      <sz val="14"/>
      <color rgb="FF002868"/>
      <name val="Lato"/>
    </font>
    <font>
      <b/>
      <sz val="14"/>
      <color theme="0"/>
      <name val="Arial"/>
      <family val="2"/>
    </font>
    <font>
      <sz val="14"/>
      <color theme="1"/>
      <name val="Arial"/>
      <family val="2"/>
    </font>
    <font>
      <b/>
      <sz val="20"/>
      <color theme="0"/>
      <name val="Arial"/>
      <family val="2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30455C"/>
      <name val="Lato"/>
    </font>
    <font>
      <b/>
      <sz val="11"/>
      <color theme="0"/>
      <name val="Arial"/>
      <family val="2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Arial"/>
      <family val="2"/>
    </font>
    <font>
      <sz val="11"/>
      <color theme="1"/>
      <name val="Poppins "/>
    </font>
    <font>
      <b/>
      <sz val="16"/>
      <color theme="1"/>
      <name val="Poppins "/>
    </font>
    <font>
      <b/>
      <sz val="18"/>
      <color theme="1"/>
      <name val="Poppins "/>
    </font>
    <font>
      <sz val="16"/>
      <color theme="1"/>
      <name val="Poppins "/>
    </font>
    <font>
      <b/>
      <sz val="10"/>
      <color theme="3"/>
      <name val="Poppins "/>
    </font>
    <font>
      <b/>
      <sz val="20"/>
      <color theme="1"/>
      <name val="Poppins "/>
    </font>
    <font>
      <b/>
      <sz val="14"/>
      <color theme="1"/>
      <name val="Poppins "/>
    </font>
    <font>
      <b/>
      <sz val="11"/>
      <color theme="1"/>
      <name val="Poppins "/>
    </font>
    <font>
      <b/>
      <sz val="22"/>
      <color theme="0"/>
      <name val="Poppins "/>
    </font>
    <font>
      <b/>
      <sz val="36"/>
      <color theme="1"/>
      <name val="Poppins "/>
    </font>
    <font>
      <sz val="18"/>
      <color theme="1"/>
      <name val="Poppins "/>
    </font>
    <font>
      <sz val="14"/>
      <color theme="1"/>
      <name val="Poppins "/>
    </font>
    <font>
      <b/>
      <sz val="9"/>
      <color theme="1"/>
      <name val="Poppins "/>
    </font>
    <font>
      <b/>
      <sz val="11"/>
      <color rgb="FFFF0000"/>
      <name val="Poppins "/>
    </font>
    <font>
      <b/>
      <sz val="10"/>
      <color rgb="FFFF0000"/>
      <name val="Poppins "/>
    </font>
    <font>
      <b/>
      <sz val="9"/>
      <color rgb="FFFF0000"/>
      <name val="Poppins "/>
    </font>
    <font>
      <b/>
      <u/>
      <sz val="11"/>
      <color rgb="FFFF0000"/>
      <name val="Poppins "/>
    </font>
    <font>
      <b/>
      <sz val="8"/>
      <color theme="1"/>
      <name val="Poppins "/>
    </font>
    <font>
      <sz val="8"/>
      <color theme="1"/>
      <name val="Poppins "/>
    </font>
    <font>
      <sz val="16"/>
      <color rgb="FFFF0000"/>
      <name val="Poppins "/>
    </font>
    <font>
      <b/>
      <sz val="16"/>
      <color rgb="FFFF0000"/>
      <name val="Poppins "/>
    </font>
    <font>
      <b/>
      <sz val="12"/>
      <color theme="1"/>
      <name val="Poppins "/>
    </font>
    <font>
      <b/>
      <sz val="14"/>
      <color rgb="FF0070C0"/>
      <name val="Calibri"/>
      <family val="2"/>
      <scheme val="minor"/>
    </font>
    <font>
      <b/>
      <sz val="18"/>
      <color rgb="FF00B05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6"/>
      <color theme="0"/>
      <name val="Poppins "/>
    </font>
    <font>
      <b/>
      <sz val="18"/>
      <color theme="0"/>
      <name val="Poppins "/>
    </font>
    <font>
      <sz val="11"/>
      <color theme="0"/>
      <name val="Poppins "/>
    </font>
    <font>
      <b/>
      <sz val="48"/>
      <color theme="0"/>
      <name val="Poppins "/>
    </font>
    <font>
      <b/>
      <sz val="16"/>
      <color theme="0" tint="-0.499984740745262"/>
      <name val="Poppins "/>
    </font>
    <font>
      <b/>
      <sz val="28"/>
      <color theme="0" tint="-4.9989318521683403E-2"/>
      <name val="Calibri"/>
      <family val="2"/>
      <scheme val="minor"/>
    </font>
    <font>
      <b/>
      <sz val="36"/>
      <color theme="0" tint="-4.9989318521683403E-2"/>
      <name val="Calibri"/>
      <family val="2"/>
      <scheme val="minor"/>
    </font>
    <font>
      <b/>
      <sz val="16"/>
      <color theme="0" tint="-4.9989318521683403E-2"/>
      <name val="Poppins "/>
    </font>
    <font>
      <b/>
      <sz val="18"/>
      <color theme="1"/>
      <name val="Calibri"/>
      <family val="2"/>
      <scheme val="minor"/>
    </font>
    <font>
      <b/>
      <sz val="36"/>
      <color theme="0"/>
      <name val="Poppins "/>
    </font>
    <font>
      <sz val="24"/>
      <color theme="1"/>
      <name val="Poppins "/>
    </font>
    <font>
      <b/>
      <sz val="24"/>
      <color theme="1"/>
      <name val="Poppins "/>
    </font>
    <font>
      <b/>
      <sz val="12"/>
      <color rgb="FFFF0000"/>
      <name val="Poppins "/>
    </font>
    <font>
      <sz val="9"/>
      <color theme="1"/>
      <name val="Poppins "/>
    </font>
    <font>
      <b/>
      <sz val="9"/>
      <color theme="0"/>
      <name val="Poppins "/>
    </font>
    <font>
      <sz val="8"/>
      <color theme="0"/>
      <name val="Poppins 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2"/>
      <color theme="3"/>
      <name val="Poppins "/>
    </font>
    <font>
      <b/>
      <sz val="24"/>
      <color theme="3"/>
      <name val="Poppins "/>
    </font>
    <font>
      <b/>
      <sz val="36"/>
      <color theme="0"/>
      <name val="Calibri"/>
      <family val="2"/>
      <scheme val="minor"/>
    </font>
    <font>
      <b/>
      <sz val="20"/>
      <color theme="0"/>
      <name val="Poppins "/>
    </font>
    <font>
      <b/>
      <sz val="10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24"/>
      <color theme="0"/>
      <name val="Poppins "/>
    </font>
  </fonts>
  <fills count="1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F7F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4B26"/>
        <bgColor indexed="64"/>
      </patternFill>
    </fill>
    <fill>
      <patternFill patternType="solid">
        <fgColor rgb="FF85983A"/>
        <bgColor indexed="64"/>
      </patternFill>
    </fill>
    <fill>
      <patternFill patternType="solid">
        <fgColor rgb="FFC4D28A"/>
        <bgColor indexed="64"/>
      </patternFill>
    </fill>
    <fill>
      <patternFill patternType="solid">
        <fgColor rgb="FFE5EBCB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2868"/>
      </bottom>
      <diagonal/>
    </border>
    <border>
      <left/>
      <right/>
      <top/>
      <bottom style="medium">
        <color rgb="FFF4F7FB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8">
    <xf numFmtId="0" fontId="0" fillId="0" borderId="0" xfId="0"/>
    <xf numFmtId="0" fontId="2" fillId="0" borderId="0" xfId="0" applyFont="1"/>
    <xf numFmtId="0" fontId="2" fillId="3" borderId="0" xfId="0" applyFont="1" applyFill="1"/>
    <xf numFmtId="164" fontId="2" fillId="3" borderId="0" xfId="1" applyFont="1" applyFill="1" applyBorder="1"/>
    <xf numFmtId="164" fontId="2" fillId="3" borderId="0" xfId="0" applyNumberFormat="1" applyFont="1" applyFill="1"/>
    <xf numFmtId="164" fontId="3" fillId="3" borderId="2" xfId="1" applyFont="1" applyFill="1" applyBorder="1"/>
    <xf numFmtId="164" fontId="2" fillId="4" borderId="1" xfId="1" applyFont="1" applyFill="1" applyBorder="1"/>
    <xf numFmtId="44" fontId="2" fillId="4" borderId="1" xfId="2" applyFont="1" applyFill="1" applyBorder="1"/>
    <xf numFmtId="10" fontId="2" fillId="4" borderId="1" xfId="3" applyNumberFormat="1" applyFont="1" applyFill="1" applyBorder="1"/>
    <xf numFmtId="44" fontId="3" fillId="4" borderId="1" xfId="2" applyFont="1" applyFill="1" applyBorder="1"/>
    <xf numFmtId="44" fontId="3" fillId="5" borderId="1" xfId="2" applyFont="1" applyFill="1" applyBorder="1"/>
    <xf numFmtId="164" fontId="3" fillId="5" borderId="1" xfId="1" applyFont="1" applyFill="1" applyBorder="1"/>
    <xf numFmtId="164" fontId="3" fillId="3" borderId="0" xfId="1" applyFont="1" applyFill="1" applyBorder="1"/>
    <xf numFmtId="0" fontId="6" fillId="6" borderId="4" xfId="0" applyFont="1" applyFill="1" applyBorder="1" applyAlignment="1">
      <alignment horizontal="left" vertical="top" indent="1"/>
    </xf>
    <xf numFmtId="10" fontId="2" fillId="4" borderId="1" xfId="3" applyNumberFormat="1" applyFont="1" applyFill="1" applyBorder="1" applyAlignment="1">
      <alignment horizontal="right"/>
    </xf>
    <xf numFmtId="164" fontId="2" fillId="4" borderId="1" xfId="1" applyFont="1" applyFill="1" applyBorder="1" applyAlignment="1">
      <alignment horizontal="right"/>
    </xf>
    <xf numFmtId="17" fontId="7" fillId="2" borderId="1" xfId="1" applyNumberFormat="1" applyFont="1" applyFill="1" applyBorder="1" applyAlignment="1">
      <alignment horizontal="center"/>
    </xf>
    <xf numFmtId="0" fontId="8" fillId="0" borderId="0" xfId="0" applyFont="1"/>
    <xf numFmtId="0" fontId="9" fillId="2" borderId="1" xfId="0" applyFont="1" applyFill="1" applyBorder="1" applyAlignment="1">
      <alignment horizontal="center"/>
    </xf>
    <xf numFmtId="164" fontId="10" fillId="4" borderId="1" xfId="1" applyFont="1" applyFill="1" applyBorder="1"/>
    <xf numFmtId="0" fontId="4" fillId="5" borderId="1" xfId="0" applyFont="1" applyFill="1" applyBorder="1"/>
    <xf numFmtId="0" fontId="4" fillId="3" borderId="2" xfId="0" applyFont="1" applyFill="1" applyBorder="1"/>
    <xf numFmtId="0" fontId="10" fillId="4" borderId="1" xfId="0" applyFont="1" applyFill="1" applyBorder="1"/>
    <xf numFmtId="0" fontId="10" fillId="3" borderId="0" xfId="0" applyFont="1" applyFill="1"/>
    <xf numFmtId="0" fontId="11" fillId="0" borderId="0" xfId="0" applyFont="1"/>
    <xf numFmtId="164" fontId="2" fillId="0" borderId="0" xfId="0" applyNumberFormat="1" applyFont="1"/>
    <xf numFmtId="0" fontId="14" fillId="7" borderId="5" xfId="0" applyFont="1" applyFill="1" applyBorder="1" applyAlignment="1">
      <alignment horizontal="left" vertical="center" wrapText="1" indent="1"/>
    </xf>
    <xf numFmtId="10" fontId="14" fillId="7" borderId="5" xfId="0" applyNumberFormat="1" applyFont="1" applyFill="1" applyBorder="1" applyAlignment="1">
      <alignment horizontal="left" vertical="center" wrapText="1" indent="1"/>
    </xf>
    <xf numFmtId="0" fontId="14" fillId="6" borderId="5" xfId="0" applyFont="1" applyFill="1" applyBorder="1" applyAlignment="1">
      <alignment horizontal="left" vertical="center" wrapText="1" indent="1"/>
    </xf>
    <xf numFmtId="10" fontId="14" fillId="6" borderId="5" xfId="0" applyNumberFormat="1" applyFont="1" applyFill="1" applyBorder="1" applyAlignment="1">
      <alignment horizontal="left" vertical="center" wrapText="1" indent="1"/>
    </xf>
    <xf numFmtId="4" fontId="14" fillId="6" borderId="5" xfId="0" applyNumberFormat="1" applyFont="1" applyFill="1" applyBorder="1" applyAlignment="1">
      <alignment horizontal="left" vertical="center" wrapText="1" indent="1"/>
    </xf>
    <xf numFmtId="4" fontId="14" fillId="7" borderId="5" xfId="0" applyNumberFormat="1" applyFont="1" applyFill="1" applyBorder="1" applyAlignment="1">
      <alignment horizontal="left" vertical="center" wrapText="1" indent="1"/>
    </xf>
    <xf numFmtId="0" fontId="15" fillId="2" borderId="1" xfId="0" applyFont="1" applyFill="1" applyBorder="1" applyAlignment="1">
      <alignment horizontal="center"/>
    </xf>
    <xf numFmtId="17" fontId="15" fillId="2" borderId="1" xfId="1" applyNumberFormat="1" applyFont="1" applyFill="1" applyBorder="1" applyAlignment="1">
      <alignment horizontal="center"/>
    </xf>
    <xf numFmtId="164" fontId="2" fillId="8" borderId="1" xfId="1" applyFont="1" applyFill="1" applyBorder="1"/>
    <xf numFmtId="0" fontId="3" fillId="9" borderId="1" xfId="0" applyFont="1" applyFill="1" applyBorder="1"/>
    <xf numFmtId="164" fontId="3" fillId="9" borderId="1" xfId="1" applyFont="1" applyFill="1" applyBorder="1"/>
    <xf numFmtId="0" fontId="3" fillId="3" borderId="2" xfId="0" applyFont="1" applyFill="1" applyBorder="1"/>
    <xf numFmtId="0" fontId="2" fillId="8" borderId="1" xfId="0" applyFont="1" applyFill="1" applyBorder="1"/>
    <xf numFmtId="0" fontId="3" fillId="0" borderId="0" xfId="0" applyFont="1"/>
    <xf numFmtId="164" fontId="2" fillId="0" borderId="0" xfId="1" applyFont="1"/>
    <xf numFmtId="17" fontId="15" fillId="3" borderId="7" xfId="1" applyNumberFormat="1" applyFont="1" applyFill="1" applyBorder="1" applyAlignment="1">
      <alignment horizontal="center"/>
    </xf>
    <xf numFmtId="164" fontId="2" fillId="3" borderId="7" xfId="1" applyFont="1" applyFill="1" applyBorder="1"/>
    <xf numFmtId="164" fontId="3" fillId="3" borderId="7" xfId="1" applyFont="1" applyFill="1" applyBorder="1"/>
    <xf numFmtId="164" fontId="3" fillId="9" borderId="0" xfId="1" applyFont="1" applyFill="1" applyBorder="1"/>
    <xf numFmtId="164" fontId="3" fillId="3" borderId="0" xfId="0" applyNumberFormat="1" applyFont="1" applyFill="1"/>
    <xf numFmtId="164" fontId="3" fillId="9" borderId="0" xfId="0" applyNumberFormat="1" applyFont="1" applyFill="1"/>
    <xf numFmtId="164" fontId="0" fillId="0" borderId="0" xfId="1" applyFont="1"/>
    <xf numFmtId="0" fontId="12" fillId="0" borderId="0" xfId="0" applyFont="1" applyAlignment="1">
      <alignment horizontal="right"/>
    </xf>
    <xf numFmtId="0" fontId="17" fillId="11" borderId="0" xfId="0" applyFont="1" applyFill="1" applyAlignment="1">
      <alignment horizontal="right"/>
    </xf>
    <xf numFmtId="164" fontId="17" fillId="11" borderId="0" xfId="1" applyFont="1" applyFill="1"/>
    <xf numFmtId="0" fontId="0" fillId="0" borderId="0" xfId="0" applyAlignment="1">
      <alignment horizontal="right"/>
    </xf>
    <xf numFmtId="10" fontId="0" fillId="0" borderId="0" xfId="3" applyNumberFormat="1" applyFont="1"/>
    <xf numFmtId="0" fontId="0" fillId="3" borderId="0" xfId="0" applyFill="1"/>
    <xf numFmtId="164" fontId="20" fillId="4" borderId="1" xfId="1" applyFont="1" applyFill="1" applyBorder="1" applyAlignment="1">
      <alignment horizontal="right"/>
    </xf>
    <xf numFmtId="44" fontId="20" fillId="4" borderId="1" xfId="2" applyFont="1" applyFill="1" applyBorder="1" applyAlignment="1">
      <alignment horizontal="right"/>
    </xf>
    <xf numFmtId="164" fontId="3" fillId="5" borderId="1" xfId="1" applyFont="1" applyFill="1" applyBorder="1" applyAlignment="1">
      <alignment horizontal="center"/>
    </xf>
    <xf numFmtId="0" fontId="21" fillId="0" borderId="0" xfId="0" applyFont="1"/>
    <xf numFmtId="0" fontId="24" fillId="0" borderId="0" xfId="0" applyFont="1"/>
    <xf numFmtId="0" fontId="21" fillId="3" borderId="0" xfId="0" applyFont="1" applyFill="1"/>
    <xf numFmtId="0" fontId="28" fillId="0" borderId="0" xfId="0" applyFont="1"/>
    <xf numFmtId="0" fontId="31" fillId="0" borderId="0" xfId="0" applyFont="1"/>
    <xf numFmtId="0" fontId="32" fillId="0" borderId="0" xfId="0" applyFont="1"/>
    <xf numFmtId="0" fontId="32" fillId="3" borderId="0" xfId="0" applyFont="1" applyFill="1" applyAlignment="1">
      <alignment vertical="center"/>
    </xf>
    <xf numFmtId="0" fontId="33" fillId="0" borderId="13" xfId="0" applyFont="1" applyBorder="1"/>
    <xf numFmtId="0" fontId="21" fillId="3" borderId="14" xfId="0" applyFont="1" applyFill="1" applyBorder="1"/>
    <xf numFmtId="0" fontId="33" fillId="0" borderId="0" xfId="0" applyFont="1"/>
    <xf numFmtId="0" fontId="21" fillId="3" borderId="0" xfId="0" applyFont="1" applyFill="1" applyAlignment="1">
      <alignment horizontal="center"/>
    </xf>
    <xf numFmtId="0" fontId="31" fillId="3" borderId="0" xfId="0" applyFont="1" applyFill="1"/>
    <xf numFmtId="43" fontId="21" fillId="0" borderId="0" xfId="0" applyNumberFormat="1" applyFont="1"/>
    <xf numFmtId="10" fontId="34" fillId="0" borderId="0" xfId="3" applyNumberFormat="1" applyFont="1" applyAlignment="1">
      <alignment horizontal="left"/>
    </xf>
    <xf numFmtId="0" fontId="28" fillId="0" borderId="0" xfId="0" applyFont="1" applyAlignment="1">
      <alignment horizontal="center"/>
    </xf>
    <xf numFmtId="44" fontId="21" fillId="0" borderId="0" xfId="2" applyFont="1" applyBorder="1"/>
    <xf numFmtId="0" fontId="28" fillId="3" borderId="6" xfId="0" applyFont="1" applyFill="1" applyBorder="1" applyAlignment="1">
      <alignment horizontal="center" vertical="center"/>
    </xf>
    <xf numFmtId="44" fontId="21" fillId="3" borderId="0" xfId="2" applyFont="1" applyFill="1"/>
    <xf numFmtId="0" fontId="28" fillId="0" borderId="6" xfId="0" applyFont="1" applyBorder="1" applyAlignment="1">
      <alignment horizontal="center"/>
    </xf>
    <xf numFmtId="9" fontId="21" fillId="3" borderId="12" xfId="0" applyNumberFormat="1" applyFont="1" applyFill="1" applyBorder="1"/>
    <xf numFmtId="0" fontId="21" fillId="3" borderId="0" xfId="0" applyFont="1" applyFill="1" applyAlignment="1">
      <alignment vertical="center"/>
    </xf>
    <xf numFmtId="9" fontId="21" fillId="3" borderId="14" xfId="0" applyNumberFormat="1" applyFont="1" applyFill="1" applyBorder="1"/>
    <xf numFmtId="0" fontId="28" fillId="3" borderId="18" xfId="0" applyFont="1" applyFill="1" applyBorder="1" applyAlignment="1">
      <alignment horizontal="center" vertical="center"/>
    </xf>
    <xf numFmtId="44" fontId="21" fillId="3" borderId="0" xfId="2" applyFont="1" applyFill="1" applyBorder="1"/>
    <xf numFmtId="0" fontId="33" fillId="0" borderId="15" xfId="0" applyFont="1" applyBorder="1"/>
    <xf numFmtId="0" fontId="28" fillId="3" borderId="0" xfId="0" applyFont="1" applyFill="1" applyAlignment="1">
      <alignment horizontal="center" vertical="center"/>
    </xf>
    <xf numFmtId="0" fontId="28" fillId="0" borderId="17" xfId="0" applyFont="1" applyBorder="1" applyAlignment="1">
      <alignment horizontal="center"/>
    </xf>
    <xf numFmtId="44" fontId="21" fillId="0" borderId="17" xfId="2" applyFont="1" applyBorder="1"/>
    <xf numFmtId="0" fontId="28" fillId="3" borderId="17" xfId="0" applyFont="1" applyFill="1" applyBorder="1" applyAlignment="1">
      <alignment horizontal="center" vertical="center"/>
    </xf>
    <xf numFmtId="44" fontId="21" fillId="3" borderId="17" xfId="2" applyFont="1" applyFill="1" applyBorder="1"/>
    <xf numFmtId="9" fontId="35" fillId="0" borderId="0" xfId="3" applyFont="1" applyAlignment="1">
      <alignment horizontal="left"/>
    </xf>
    <xf numFmtId="0" fontId="28" fillId="11" borderId="6" xfId="0" applyFont="1" applyFill="1" applyBorder="1" applyAlignment="1">
      <alignment horizontal="center"/>
    </xf>
    <xf numFmtId="44" fontId="21" fillId="3" borderId="6" xfId="2" applyFont="1" applyFill="1" applyBorder="1" applyAlignment="1">
      <alignment vertical="center" wrapText="1"/>
    </xf>
    <xf numFmtId="44" fontId="21" fillId="3" borderId="6" xfId="0" applyNumberFormat="1" applyFont="1" applyFill="1" applyBorder="1" applyAlignment="1">
      <alignment vertical="center" wrapText="1"/>
    </xf>
    <xf numFmtId="0" fontId="21" fillId="3" borderId="0" xfId="0" applyFont="1" applyFill="1" applyAlignment="1">
      <alignment vertical="center" wrapText="1"/>
    </xf>
    <xf numFmtId="44" fontId="21" fillId="4" borderId="6" xfId="0" applyNumberFormat="1" applyFont="1" applyFill="1" applyBorder="1" applyAlignment="1">
      <alignment vertical="center" wrapText="1"/>
    </xf>
    <xf numFmtId="43" fontId="36" fillId="3" borderId="18" xfId="1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28" fillId="3" borderId="20" xfId="0" applyFont="1" applyFill="1" applyBorder="1" applyAlignment="1">
      <alignment horizontal="center" vertical="center"/>
    </xf>
    <xf numFmtId="44" fontId="21" fillId="3" borderId="0" xfId="2" applyFont="1" applyFill="1" applyBorder="1" applyAlignment="1">
      <alignment vertical="center" wrapText="1"/>
    </xf>
    <xf numFmtId="44" fontId="21" fillId="0" borderId="0" xfId="2" applyFont="1" applyAlignment="1">
      <alignment horizontal="right"/>
    </xf>
    <xf numFmtId="44" fontId="21" fillId="3" borderId="0" xfId="0" applyNumberFormat="1" applyFont="1" applyFill="1" applyAlignment="1">
      <alignment vertical="center" wrapText="1"/>
    </xf>
    <xf numFmtId="0" fontId="38" fillId="3" borderId="18" xfId="0" applyFont="1" applyFill="1" applyBorder="1" applyAlignment="1">
      <alignment horizontal="center" vertical="center" wrapText="1"/>
    </xf>
    <xf numFmtId="164" fontId="21" fillId="3" borderId="0" xfId="1" applyFont="1" applyFill="1" applyBorder="1"/>
    <xf numFmtId="164" fontId="32" fillId="3" borderId="0" xfId="1" applyFont="1" applyFill="1"/>
    <xf numFmtId="0" fontId="38" fillId="3" borderId="6" xfId="0" applyFont="1" applyFill="1" applyBorder="1" applyAlignment="1">
      <alignment horizontal="center" vertical="center" wrapText="1"/>
    </xf>
    <xf numFmtId="164" fontId="21" fillId="3" borderId="0" xfId="1" applyFont="1" applyFill="1"/>
    <xf numFmtId="0" fontId="39" fillId="0" borderId="0" xfId="0" applyFont="1"/>
    <xf numFmtId="0" fontId="38" fillId="3" borderId="0" xfId="0" applyFont="1" applyFill="1" applyAlignment="1">
      <alignment horizontal="right"/>
    </xf>
    <xf numFmtId="43" fontId="39" fillId="3" borderId="0" xfId="0" applyNumberFormat="1" applyFont="1" applyFill="1"/>
    <xf numFmtId="0" fontId="39" fillId="3" borderId="0" xfId="0" applyFont="1" applyFill="1"/>
    <xf numFmtId="0" fontId="39" fillId="3" borderId="0" xfId="0" applyFont="1" applyFill="1" applyAlignment="1">
      <alignment horizontal="right"/>
    </xf>
    <xf numFmtId="0" fontId="33" fillId="11" borderId="6" xfId="0" applyFont="1" applyFill="1" applyBorder="1" applyAlignment="1">
      <alignment horizontal="center" vertical="center" wrapText="1"/>
    </xf>
    <xf numFmtId="44" fontId="21" fillId="3" borderId="0" xfId="0" applyNumberFormat="1" applyFont="1" applyFill="1"/>
    <xf numFmtId="0" fontId="33" fillId="3" borderId="0" xfId="0" applyFont="1" applyFill="1" applyAlignment="1">
      <alignment horizontal="center" wrapText="1"/>
    </xf>
    <xf numFmtId="0" fontId="33" fillId="3" borderId="18" xfId="0" applyFont="1" applyFill="1" applyBorder="1" applyAlignment="1">
      <alignment horizontal="center" wrapText="1"/>
    </xf>
    <xf numFmtId="44" fontId="21" fillId="3" borderId="18" xfId="0" applyNumberFormat="1" applyFont="1" applyFill="1" applyBorder="1" applyAlignment="1">
      <alignment vertical="center" wrapText="1"/>
    </xf>
    <xf numFmtId="0" fontId="31" fillId="3" borderId="0" xfId="0" applyFont="1" applyFill="1" applyAlignment="1">
      <alignment vertical="center" wrapText="1"/>
    </xf>
    <xf numFmtId="0" fontId="28" fillId="3" borderId="0" xfId="0" applyFont="1" applyFill="1"/>
    <xf numFmtId="0" fontId="40" fillId="0" borderId="0" xfId="0" applyFont="1"/>
    <xf numFmtId="0" fontId="41" fillId="0" borderId="0" xfId="0" applyFont="1"/>
    <xf numFmtId="0" fontId="41" fillId="3" borderId="0" xfId="0" applyFont="1" applyFill="1"/>
    <xf numFmtId="0" fontId="33" fillId="0" borderId="15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0" fontId="43" fillId="0" borderId="0" xfId="0" applyFont="1"/>
    <xf numFmtId="0" fontId="44" fillId="0" borderId="0" xfId="0" applyFont="1"/>
    <xf numFmtId="0" fontId="44" fillId="3" borderId="0" xfId="0" applyFont="1" applyFill="1"/>
    <xf numFmtId="0" fontId="43" fillId="3" borderId="0" xfId="0" applyFont="1" applyFill="1"/>
    <xf numFmtId="0" fontId="46" fillId="0" borderId="0" xfId="0" applyFont="1"/>
    <xf numFmtId="10" fontId="45" fillId="0" borderId="0" xfId="3" applyNumberFormat="1" applyFont="1" applyAlignment="1">
      <alignment horizontal="center"/>
    </xf>
    <xf numFmtId="0" fontId="50" fillId="3" borderId="0" xfId="0" applyFont="1" applyFill="1" applyAlignment="1">
      <alignment vertical="center"/>
    </xf>
    <xf numFmtId="0" fontId="46" fillId="3" borderId="0" xfId="0" applyFont="1" applyFill="1"/>
    <xf numFmtId="10" fontId="45" fillId="3" borderId="0" xfId="3" applyNumberFormat="1" applyFont="1" applyFill="1" applyAlignment="1">
      <alignment horizontal="center"/>
    </xf>
    <xf numFmtId="0" fontId="53" fillId="3" borderId="24" xfId="0" applyFont="1" applyFill="1" applyBorder="1" applyAlignment="1">
      <alignment vertical="center"/>
    </xf>
    <xf numFmtId="0" fontId="22" fillId="3" borderId="0" xfId="0" applyFont="1" applyFill="1" applyAlignment="1">
      <alignment vertical="center"/>
    </xf>
    <xf numFmtId="44" fontId="43" fillId="3" borderId="0" xfId="2" applyFont="1" applyFill="1"/>
    <xf numFmtId="0" fontId="18" fillId="0" borderId="0" xfId="0" applyFont="1"/>
    <xf numFmtId="0" fontId="22" fillId="0" borderId="0" xfId="0" applyFont="1"/>
    <xf numFmtId="0" fontId="18" fillId="3" borderId="0" xfId="0" applyFont="1" applyFill="1"/>
    <xf numFmtId="0" fontId="19" fillId="0" borderId="0" xfId="0" applyFont="1"/>
    <xf numFmtId="0" fontId="19" fillId="3" borderId="0" xfId="0" applyFont="1" applyFill="1"/>
    <xf numFmtId="0" fontId="55" fillId="0" borderId="0" xfId="0" applyFont="1"/>
    <xf numFmtId="0" fontId="55" fillId="3" borderId="0" xfId="0" applyFont="1" applyFill="1"/>
    <xf numFmtId="0" fontId="16" fillId="0" borderId="0" xfId="0" applyFont="1"/>
    <xf numFmtId="0" fontId="16" fillId="3" borderId="0" xfId="0" applyFont="1" applyFill="1"/>
    <xf numFmtId="0" fontId="57" fillId="0" borderId="0" xfId="0" applyFont="1"/>
    <xf numFmtId="43" fontId="36" fillId="3" borderId="0" xfId="1" applyNumberFormat="1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center" vertical="center"/>
    </xf>
    <xf numFmtId="0" fontId="34" fillId="3" borderId="0" xfId="0" applyFont="1" applyFill="1" applyAlignment="1">
      <alignment horizontal="center" vertical="center" wrapText="1"/>
    </xf>
    <xf numFmtId="0" fontId="57" fillId="3" borderId="0" xfId="0" applyFont="1" applyFill="1"/>
    <xf numFmtId="0" fontId="58" fillId="3" borderId="0" xfId="0" applyFont="1" applyFill="1" applyAlignment="1">
      <alignment horizontal="center" vertical="center"/>
    </xf>
    <xf numFmtId="0" fontId="33" fillId="3" borderId="0" xfId="0" applyFont="1" applyFill="1" applyAlignment="1">
      <alignment horizontal="right"/>
    </xf>
    <xf numFmtId="43" fontId="60" fillId="3" borderId="0" xfId="0" applyNumberFormat="1" applyFont="1" applyFill="1"/>
    <xf numFmtId="0" fontId="60" fillId="3" borderId="0" xfId="0" applyFont="1" applyFill="1" applyAlignment="1">
      <alignment horizontal="right"/>
    </xf>
    <xf numFmtId="165" fontId="61" fillId="3" borderId="0" xfId="1" applyNumberFormat="1" applyFont="1" applyFill="1" applyBorder="1" applyAlignment="1">
      <alignment horizontal="center" vertical="center" wrapText="1"/>
    </xf>
    <xf numFmtId="165" fontId="49" fillId="3" borderId="0" xfId="1" applyNumberFormat="1" applyFont="1" applyFill="1" applyBorder="1" applyAlignment="1">
      <alignment vertical="center" wrapText="1"/>
    </xf>
    <xf numFmtId="0" fontId="49" fillId="3" borderId="0" xfId="0" applyFont="1" applyFill="1"/>
    <xf numFmtId="0" fontId="61" fillId="0" borderId="13" xfId="0" applyFont="1" applyBorder="1"/>
    <xf numFmtId="0" fontId="49" fillId="3" borderId="13" xfId="0" applyFont="1" applyFill="1" applyBorder="1"/>
    <xf numFmtId="165" fontId="61" fillId="3" borderId="28" xfId="1" applyNumberFormat="1" applyFont="1" applyFill="1" applyBorder="1" applyAlignment="1">
      <alignment horizontal="center" vertical="center" wrapText="1"/>
    </xf>
    <xf numFmtId="165" fontId="49" fillId="3" borderId="28" xfId="1" applyNumberFormat="1" applyFont="1" applyFill="1" applyBorder="1" applyAlignment="1">
      <alignment vertical="center" wrapText="1"/>
    </xf>
    <xf numFmtId="0" fontId="63" fillId="0" borderId="0" xfId="0" applyFont="1"/>
    <xf numFmtId="0" fontId="63" fillId="3" borderId="0" xfId="0" applyFont="1" applyFill="1"/>
    <xf numFmtId="0" fontId="28" fillId="12" borderId="29" xfId="0" applyFont="1" applyFill="1" applyBorder="1"/>
    <xf numFmtId="44" fontId="28" fillId="12" borderId="30" xfId="0" applyNumberFormat="1" applyFont="1" applyFill="1" applyBorder="1"/>
    <xf numFmtId="0" fontId="28" fillId="12" borderId="24" xfId="0" applyFont="1" applyFill="1" applyBorder="1"/>
    <xf numFmtId="0" fontId="28" fillId="12" borderId="19" xfId="0" applyFont="1" applyFill="1" applyBorder="1"/>
    <xf numFmtId="0" fontId="28" fillId="12" borderId="29" xfId="0" applyFont="1" applyFill="1" applyBorder="1" applyAlignment="1">
      <alignment horizontal="left"/>
    </xf>
    <xf numFmtId="44" fontId="28" fillId="12" borderId="30" xfId="0" applyNumberFormat="1" applyFont="1" applyFill="1" applyBorder="1" applyAlignment="1">
      <alignment horizontal="left"/>
    </xf>
    <xf numFmtId="0" fontId="41" fillId="12" borderId="10" xfId="0" applyFont="1" applyFill="1" applyBorder="1"/>
    <xf numFmtId="10" fontId="41" fillId="12" borderId="11" xfId="3" applyNumberFormat="1" applyFont="1" applyFill="1" applyBorder="1"/>
    <xf numFmtId="7" fontId="28" fillId="12" borderId="30" xfId="0" applyNumberFormat="1" applyFont="1" applyFill="1" applyBorder="1" applyAlignment="1">
      <alignment horizontal="right"/>
    </xf>
    <xf numFmtId="44" fontId="21" fillId="14" borderId="14" xfId="2" applyFont="1" applyFill="1" applyBorder="1"/>
    <xf numFmtId="9" fontId="21" fillId="14" borderId="16" xfId="0" applyNumberFormat="1" applyFont="1" applyFill="1" applyBorder="1"/>
    <xf numFmtId="44" fontId="21" fillId="14" borderId="12" xfId="2" applyFont="1" applyFill="1" applyBorder="1"/>
    <xf numFmtId="164" fontId="21" fillId="14" borderId="6" xfId="1" applyFont="1" applyFill="1" applyBorder="1"/>
    <xf numFmtId="164" fontId="21" fillId="14" borderId="6" xfId="1" applyFont="1" applyFill="1" applyBorder="1" applyAlignment="1">
      <alignment horizontal="right"/>
    </xf>
    <xf numFmtId="0" fontId="23" fillId="0" borderId="0" xfId="0" applyFont="1" applyAlignment="1">
      <alignment horizontal="center" vertical="center"/>
    </xf>
    <xf numFmtId="0" fontId="49" fillId="0" borderId="0" xfId="0" applyFont="1"/>
    <xf numFmtId="0" fontId="21" fillId="16" borderId="0" xfId="0" applyFont="1" applyFill="1"/>
    <xf numFmtId="0" fontId="23" fillId="16" borderId="0" xfId="0" applyFont="1" applyFill="1" applyAlignment="1">
      <alignment horizontal="center" vertical="center"/>
    </xf>
    <xf numFmtId="0" fontId="22" fillId="16" borderId="0" xfId="0" applyFont="1" applyFill="1" applyAlignment="1">
      <alignment vertical="center"/>
    </xf>
    <xf numFmtId="0" fontId="51" fillId="16" borderId="0" xfId="0" applyFont="1" applyFill="1" applyAlignment="1">
      <alignment vertical="center"/>
    </xf>
    <xf numFmtId="0" fontId="24" fillId="16" borderId="0" xfId="0" applyFont="1" applyFill="1"/>
    <xf numFmtId="166" fontId="22" fillId="16" borderId="0" xfId="2" applyNumberFormat="1" applyFont="1" applyFill="1" applyAlignment="1">
      <alignment horizontal="center" vertical="center"/>
    </xf>
    <xf numFmtId="166" fontId="51" fillId="16" borderId="0" xfId="2" applyNumberFormat="1" applyFont="1" applyFill="1" applyAlignment="1">
      <alignment horizontal="center" vertical="center"/>
    </xf>
    <xf numFmtId="166" fontId="24" fillId="16" borderId="0" xfId="2" applyNumberFormat="1" applyFont="1" applyFill="1" applyAlignment="1">
      <alignment horizontal="center" vertical="center"/>
    </xf>
    <xf numFmtId="166" fontId="24" fillId="16" borderId="0" xfId="2" applyNumberFormat="1" applyFont="1" applyFill="1" applyBorder="1" applyAlignment="1">
      <alignment horizontal="center" vertical="center"/>
    </xf>
    <xf numFmtId="0" fontId="23" fillId="16" borderId="0" xfId="0" applyFont="1" applyFill="1" applyAlignment="1">
      <alignment vertical="center"/>
    </xf>
    <xf numFmtId="0" fontId="47" fillId="16" borderId="0" xfId="0" applyFont="1" applyFill="1" applyAlignment="1">
      <alignment horizontal="right" vertical="center"/>
    </xf>
    <xf numFmtId="0" fontId="48" fillId="16" borderId="0" xfId="0" applyFont="1" applyFill="1" applyAlignment="1">
      <alignment horizontal="center" vertical="center"/>
    </xf>
    <xf numFmtId="0" fontId="49" fillId="16" borderId="0" xfId="0" applyFont="1" applyFill="1"/>
    <xf numFmtId="0" fontId="22" fillId="16" borderId="0" xfId="0" applyFont="1" applyFill="1" applyAlignment="1">
      <alignment horizontal="right" vertical="center"/>
    </xf>
    <xf numFmtId="0" fontId="64" fillId="0" borderId="33" xfId="0" applyFont="1" applyBorder="1" applyAlignment="1">
      <alignment vertical="center"/>
    </xf>
    <xf numFmtId="10" fontId="64" fillId="0" borderId="34" xfId="3" applyNumberFormat="1" applyFont="1" applyFill="1" applyBorder="1" applyAlignment="1">
      <alignment vertical="center"/>
    </xf>
    <xf numFmtId="0" fontId="64" fillId="0" borderId="3" xfId="0" applyFont="1" applyBorder="1" applyAlignment="1">
      <alignment vertical="center"/>
    </xf>
    <xf numFmtId="10" fontId="64" fillId="0" borderId="31" xfId="3" applyNumberFormat="1" applyFont="1" applyFill="1" applyBorder="1" applyAlignment="1">
      <alignment vertical="center"/>
    </xf>
    <xf numFmtId="0" fontId="64" fillId="0" borderId="3" xfId="0" applyFont="1" applyBorder="1"/>
    <xf numFmtId="10" fontId="64" fillId="0" borderId="31" xfId="3" applyNumberFormat="1" applyFont="1" applyFill="1" applyBorder="1" applyAlignment="1"/>
    <xf numFmtId="0" fontId="71" fillId="0" borderId="0" xfId="0" applyFont="1"/>
    <xf numFmtId="44" fontId="71" fillId="3" borderId="0" xfId="2" applyFont="1" applyFill="1" applyAlignment="1"/>
    <xf numFmtId="0" fontId="71" fillId="3" borderId="0" xfId="0" applyFont="1" applyFill="1"/>
    <xf numFmtId="0" fontId="72" fillId="16" borderId="3" xfId="0" applyFont="1" applyFill="1" applyBorder="1" applyAlignment="1">
      <alignment vertical="center"/>
    </xf>
    <xf numFmtId="0" fontId="73" fillId="16" borderId="31" xfId="0" applyFont="1" applyFill="1" applyBorder="1" applyAlignment="1">
      <alignment vertical="center"/>
    </xf>
    <xf numFmtId="0" fontId="72" fillId="16" borderId="3" xfId="0" applyFont="1" applyFill="1" applyBorder="1"/>
    <xf numFmtId="0" fontId="73" fillId="16" borderId="31" xfId="0" applyFont="1" applyFill="1" applyBorder="1"/>
    <xf numFmtId="0" fontId="21" fillId="18" borderId="0" xfId="0" applyFont="1" applyFill="1"/>
    <xf numFmtId="0" fontId="23" fillId="18" borderId="0" xfId="0" applyFont="1" applyFill="1" applyAlignment="1">
      <alignment horizontal="center" vertical="center"/>
    </xf>
    <xf numFmtId="0" fontId="24" fillId="18" borderId="0" xfId="0" applyFont="1" applyFill="1"/>
    <xf numFmtId="0" fontId="30" fillId="18" borderId="0" xfId="0" applyFont="1" applyFill="1" applyAlignment="1">
      <alignment vertical="center" wrapText="1"/>
    </xf>
    <xf numFmtId="0" fontId="22" fillId="18" borderId="0" xfId="0" applyFont="1" applyFill="1" applyAlignment="1">
      <alignment vertical="center"/>
    </xf>
    <xf numFmtId="0" fontId="22" fillId="18" borderId="22" xfId="0" applyFont="1" applyFill="1" applyBorder="1" applyAlignment="1">
      <alignment vertical="center"/>
    </xf>
    <xf numFmtId="44" fontId="23" fillId="18" borderId="25" xfId="2" applyFont="1" applyFill="1" applyBorder="1" applyAlignment="1">
      <alignment vertical="center"/>
    </xf>
    <xf numFmtId="0" fontId="66" fillId="18" borderId="23" xfId="0" applyFont="1" applyFill="1" applyBorder="1" applyAlignment="1">
      <alignment horizontal="left" vertical="center"/>
    </xf>
    <xf numFmtId="0" fontId="42" fillId="18" borderId="0" xfId="0" applyFont="1" applyFill="1" applyAlignment="1">
      <alignment vertical="center" wrapText="1"/>
    </xf>
    <xf numFmtId="0" fontId="22" fillId="18" borderId="0" xfId="0" applyFont="1" applyFill="1" applyAlignment="1">
      <alignment vertical="center" wrapText="1"/>
    </xf>
    <xf numFmtId="44" fontId="22" fillId="18" borderId="25" xfId="2" applyFont="1" applyFill="1" applyBorder="1" applyAlignment="1">
      <alignment vertical="center"/>
    </xf>
    <xf numFmtId="0" fontId="66" fillId="18" borderId="23" xfId="0" applyFont="1" applyFill="1" applyBorder="1" applyAlignment="1">
      <alignment vertical="center"/>
    </xf>
    <xf numFmtId="0" fontId="27" fillId="18" borderId="0" xfId="0" applyFont="1" applyFill="1" applyAlignment="1">
      <alignment vertical="center" wrapText="1"/>
    </xf>
    <xf numFmtId="0" fontId="22" fillId="18" borderId="0" xfId="0" applyFont="1" applyFill="1" applyAlignment="1">
      <alignment horizontal="right" vertical="center" wrapText="1"/>
    </xf>
    <xf numFmtId="9" fontId="22" fillId="18" borderId="25" xfId="3" applyFont="1" applyFill="1" applyBorder="1" applyAlignment="1">
      <alignment vertical="center"/>
    </xf>
    <xf numFmtId="44" fontId="24" fillId="18" borderId="0" xfId="0" applyNumberFormat="1" applyFont="1" applyFill="1"/>
    <xf numFmtId="0" fontId="23" fillId="18" borderId="0" xfId="0" applyFont="1" applyFill="1" applyAlignment="1">
      <alignment vertical="center"/>
    </xf>
    <xf numFmtId="0" fontId="27" fillId="18" borderId="0" xfId="0" applyFont="1" applyFill="1" applyAlignment="1">
      <alignment horizontal="right" vertical="center" wrapText="1"/>
    </xf>
    <xf numFmtId="0" fontId="65" fillId="18" borderId="23" xfId="0" applyFont="1" applyFill="1" applyBorder="1" applyAlignment="1">
      <alignment vertical="center"/>
    </xf>
    <xf numFmtId="0" fontId="22" fillId="18" borderId="0" xfId="0" applyFont="1" applyFill="1" applyAlignment="1">
      <alignment horizontal="center" vertical="center" wrapText="1"/>
    </xf>
    <xf numFmtId="0" fontId="25" fillId="18" borderId="0" xfId="0" applyFont="1" applyFill="1" applyAlignment="1">
      <alignment horizontal="left" vertical="center"/>
    </xf>
    <xf numFmtId="0" fontId="22" fillId="18" borderId="0" xfId="0" applyFont="1" applyFill="1" applyAlignment="1">
      <alignment horizontal="center"/>
    </xf>
    <xf numFmtId="44" fontId="26" fillId="18" borderId="25" xfId="2" applyFont="1" applyFill="1" applyBorder="1" applyAlignment="1">
      <alignment vertical="center" wrapText="1"/>
    </xf>
    <xf numFmtId="0" fontId="42" fillId="18" borderId="0" xfId="0" applyFont="1" applyFill="1" applyAlignment="1">
      <alignment vertical="center"/>
    </xf>
    <xf numFmtId="0" fontId="42" fillId="18" borderId="0" xfId="0" applyFont="1" applyFill="1" applyAlignment="1">
      <alignment horizontal="right" vertical="center"/>
    </xf>
    <xf numFmtId="44" fontId="22" fillId="18" borderId="0" xfId="0" applyNumberFormat="1" applyFont="1" applyFill="1" applyAlignment="1">
      <alignment vertical="center"/>
    </xf>
    <xf numFmtId="44" fontId="41" fillId="18" borderId="25" xfId="2" applyFont="1" applyFill="1" applyBorder="1" applyAlignment="1">
      <alignment horizontal="center" vertical="center"/>
    </xf>
    <xf numFmtId="0" fontId="59" fillId="18" borderId="0" xfId="0" applyFont="1" applyFill="1" applyAlignment="1">
      <alignment horizontal="left" vertical="center"/>
    </xf>
    <xf numFmtId="10" fontId="34" fillId="0" borderId="0" xfId="3" applyNumberFormat="1" applyFont="1" applyFill="1" applyAlignment="1">
      <alignment horizontal="left"/>
    </xf>
    <xf numFmtId="10" fontId="21" fillId="0" borderId="0" xfId="3" applyNumberFormat="1" applyFont="1" applyFill="1"/>
    <xf numFmtId="44" fontId="39" fillId="0" borderId="0" xfId="2" applyFont="1" applyFill="1"/>
    <xf numFmtId="44" fontId="39" fillId="0" borderId="0" xfId="0" applyNumberFormat="1" applyFont="1"/>
    <xf numFmtId="0" fontId="62" fillId="0" borderId="0" xfId="0" applyFont="1"/>
    <xf numFmtId="44" fontId="62" fillId="0" borderId="0" xfId="2" applyFont="1" applyFill="1" applyBorder="1"/>
    <xf numFmtId="44" fontId="62" fillId="0" borderId="0" xfId="0" applyNumberFormat="1" applyFont="1"/>
    <xf numFmtId="44" fontId="28" fillId="0" borderId="0" xfId="0" applyNumberFormat="1" applyFont="1"/>
    <xf numFmtId="0" fontId="5" fillId="5" borderId="3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0" fillId="15" borderId="0" xfId="0" applyFont="1" applyFill="1" applyAlignment="1">
      <alignment horizontal="center" vertical="center"/>
    </xf>
    <xf numFmtId="0" fontId="28" fillId="12" borderId="8" xfId="0" applyFont="1" applyFill="1" applyBorder="1" applyAlignment="1">
      <alignment horizontal="left"/>
    </xf>
    <xf numFmtId="0" fontId="28" fillId="12" borderId="9" xfId="0" applyFont="1" applyFill="1" applyBorder="1" applyAlignment="1">
      <alignment horizontal="left"/>
    </xf>
    <xf numFmtId="0" fontId="28" fillId="12" borderId="24" xfId="0" applyFont="1" applyFill="1" applyBorder="1" applyAlignment="1">
      <alignment horizontal="left"/>
    </xf>
    <xf numFmtId="0" fontId="28" fillId="12" borderId="19" xfId="0" applyFont="1" applyFill="1" applyBorder="1" applyAlignment="1">
      <alignment horizontal="left"/>
    </xf>
    <xf numFmtId="0" fontId="12" fillId="12" borderId="8" xfId="0" applyFont="1" applyFill="1" applyBorder="1" applyAlignment="1">
      <alignment horizontal="left"/>
    </xf>
    <xf numFmtId="0" fontId="27" fillId="10" borderId="8" xfId="0" applyFont="1" applyFill="1" applyBorder="1" applyAlignment="1">
      <alignment horizontal="center" wrapText="1"/>
    </xf>
    <xf numFmtId="0" fontId="27" fillId="10" borderId="9" xfId="0" applyFont="1" applyFill="1" applyBorder="1" applyAlignment="1">
      <alignment horizontal="center"/>
    </xf>
    <xf numFmtId="0" fontId="27" fillId="10" borderId="10" xfId="0" applyFont="1" applyFill="1" applyBorder="1" applyAlignment="1">
      <alignment horizontal="center"/>
    </xf>
    <xf numFmtId="0" fontId="27" fillId="10" borderId="11" xfId="0" applyFont="1" applyFill="1" applyBorder="1" applyAlignment="1">
      <alignment horizontal="center"/>
    </xf>
    <xf numFmtId="0" fontId="74" fillId="16" borderId="33" xfId="0" applyFont="1" applyFill="1" applyBorder="1" applyAlignment="1">
      <alignment horizontal="center" vertical="center"/>
    </xf>
    <xf numFmtId="0" fontId="74" fillId="16" borderId="21" xfId="0" applyFont="1" applyFill="1" applyBorder="1" applyAlignment="1">
      <alignment horizontal="center" vertical="center"/>
    </xf>
    <xf numFmtId="0" fontId="74" fillId="16" borderId="34" xfId="0" applyFont="1" applyFill="1" applyBorder="1" applyAlignment="1">
      <alignment horizontal="center" vertical="center"/>
    </xf>
    <xf numFmtId="0" fontId="74" fillId="16" borderId="35" xfId="0" applyFont="1" applyFill="1" applyBorder="1" applyAlignment="1">
      <alignment horizontal="center" vertical="center"/>
    </xf>
    <xf numFmtId="0" fontId="74" fillId="16" borderId="38" xfId="0" applyFont="1" applyFill="1" applyBorder="1" applyAlignment="1">
      <alignment horizontal="center" vertical="center"/>
    </xf>
    <xf numFmtId="0" fontId="74" fillId="16" borderId="36" xfId="0" applyFont="1" applyFill="1" applyBorder="1" applyAlignment="1">
      <alignment horizontal="center" vertical="center"/>
    </xf>
    <xf numFmtId="0" fontId="27" fillId="10" borderId="8" xfId="0" applyFont="1" applyFill="1" applyBorder="1" applyAlignment="1">
      <alignment horizontal="center" vertical="center" wrapText="1"/>
    </xf>
    <xf numFmtId="0" fontId="27" fillId="10" borderId="9" xfId="0" applyFont="1" applyFill="1" applyBorder="1" applyAlignment="1">
      <alignment horizontal="center" vertical="center"/>
    </xf>
    <xf numFmtId="0" fontId="27" fillId="10" borderId="10" xfId="0" applyFont="1" applyFill="1" applyBorder="1" applyAlignment="1">
      <alignment horizontal="center" vertical="center"/>
    </xf>
    <xf numFmtId="0" fontId="27" fillId="10" borderId="11" xfId="0" applyFont="1" applyFill="1" applyBorder="1" applyAlignment="1">
      <alignment horizontal="center" vertical="center"/>
    </xf>
    <xf numFmtId="0" fontId="27" fillId="10" borderId="8" xfId="0" applyFont="1" applyFill="1" applyBorder="1" applyAlignment="1">
      <alignment horizontal="center" vertical="center"/>
    </xf>
    <xf numFmtId="0" fontId="26" fillId="10" borderId="8" xfId="0" applyFont="1" applyFill="1" applyBorder="1" applyAlignment="1">
      <alignment horizontal="center" vertical="center" wrapText="1"/>
    </xf>
    <xf numFmtId="0" fontId="26" fillId="10" borderId="9" xfId="0" applyFont="1" applyFill="1" applyBorder="1" applyAlignment="1">
      <alignment horizontal="center" vertical="center"/>
    </xf>
    <xf numFmtId="0" fontId="26" fillId="10" borderId="10" xfId="0" applyFont="1" applyFill="1" applyBorder="1" applyAlignment="1">
      <alignment horizontal="center" vertical="center"/>
    </xf>
    <xf numFmtId="0" fontId="26" fillId="10" borderId="11" xfId="0" applyFont="1" applyFill="1" applyBorder="1" applyAlignment="1">
      <alignment horizontal="center" vertical="center"/>
    </xf>
    <xf numFmtId="0" fontId="34" fillId="13" borderId="26" xfId="0" applyFont="1" applyFill="1" applyBorder="1" applyAlignment="1">
      <alignment horizontal="center" vertical="center" wrapText="1"/>
    </xf>
    <xf numFmtId="0" fontId="34" fillId="13" borderId="27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2" fillId="18" borderId="0" xfId="0" applyFont="1" applyFill="1" applyAlignment="1">
      <alignment horizontal="right" vertical="center" wrapText="1"/>
    </xf>
    <xf numFmtId="0" fontId="22" fillId="18" borderId="22" xfId="0" applyFont="1" applyFill="1" applyBorder="1" applyAlignment="1">
      <alignment horizontal="right" vertical="center" wrapText="1"/>
    </xf>
    <xf numFmtId="0" fontId="55" fillId="3" borderId="3" xfId="0" applyFont="1" applyFill="1" applyBorder="1" applyAlignment="1">
      <alignment horizontal="center"/>
    </xf>
    <xf numFmtId="0" fontId="55" fillId="3" borderId="31" xfId="0" applyFont="1" applyFill="1" applyBorder="1" applyAlignment="1">
      <alignment horizontal="center"/>
    </xf>
    <xf numFmtId="0" fontId="72" fillId="16" borderId="3" xfId="0" applyFont="1" applyFill="1" applyBorder="1" applyAlignment="1">
      <alignment horizontal="center"/>
    </xf>
    <xf numFmtId="0" fontId="72" fillId="16" borderId="31" xfId="0" applyFont="1" applyFill="1" applyBorder="1" applyAlignment="1">
      <alignment horizontal="center"/>
    </xf>
    <xf numFmtId="0" fontId="70" fillId="16" borderId="3" xfId="0" applyFont="1" applyFill="1" applyBorder="1" applyAlignment="1">
      <alignment horizontal="center"/>
    </xf>
    <xf numFmtId="0" fontId="70" fillId="16" borderId="31" xfId="0" applyFont="1" applyFill="1" applyBorder="1" applyAlignment="1">
      <alignment horizontal="center"/>
    </xf>
    <xf numFmtId="0" fontId="70" fillId="16" borderId="1" xfId="0" applyFont="1" applyFill="1" applyBorder="1" applyAlignment="1">
      <alignment horizontal="center"/>
    </xf>
    <xf numFmtId="10" fontId="45" fillId="0" borderId="35" xfId="3" applyNumberFormat="1" applyFont="1" applyFill="1" applyBorder="1" applyAlignment="1">
      <alignment horizontal="center"/>
    </xf>
    <xf numFmtId="10" fontId="45" fillId="0" borderId="36" xfId="3" applyNumberFormat="1" applyFont="1" applyFill="1" applyBorder="1" applyAlignment="1">
      <alignment horizontal="center"/>
    </xf>
    <xf numFmtId="44" fontId="18" fillId="17" borderId="3" xfId="0" applyNumberFormat="1" applyFont="1" applyFill="1" applyBorder="1"/>
    <xf numFmtId="0" fontId="18" fillId="17" borderId="31" xfId="0" applyFont="1" applyFill="1" applyBorder="1"/>
    <xf numFmtId="0" fontId="67" fillId="15" borderId="1" xfId="0" applyFont="1" applyFill="1" applyBorder="1" applyAlignment="1">
      <alignment horizontal="center" vertical="center"/>
    </xf>
    <xf numFmtId="0" fontId="56" fillId="15" borderId="1" xfId="0" applyFont="1" applyFill="1" applyBorder="1" applyAlignment="1">
      <alignment horizontal="center" vertical="center"/>
    </xf>
    <xf numFmtId="0" fontId="69" fillId="13" borderId="33" xfId="0" applyFont="1" applyFill="1" applyBorder="1" applyAlignment="1">
      <alignment horizontal="center" vertical="center" wrapText="1"/>
    </xf>
    <xf numFmtId="0" fontId="69" fillId="13" borderId="34" xfId="0" applyFont="1" applyFill="1" applyBorder="1" applyAlignment="1">
      <alignment horizontal="center" vertical="center" wrapText="1"/>
    </xf>
    <xf numFmtId="0" fontId="69" fillId="13" borderId="7" xfId="0" applyFont="1" applyFill="1" applyBorder="1" applyAlignment="1">
      <alignment horizontal="center" vertical="center" wrapText="1"/>
    </xf>
    <xf numFmtId="0" fontId="69" fillId="13" borderId="37" xfId="0" applyFont="1" applyFill="1" applyBorder="1" applyAlignment="1">
      <alignment horizontal="center" vertical="center" wrapText="1"/>
    </xf>
    <xf numFmtId="0" fontId="69" fillId="13" borderId="35" xfId="0" applyFont="1" applyFill="1" applyBorder="1" applyAlignment="1">
      <alignment horizontal="center" vertical="center" wrapText="1"/>
    </xf>
    <xf numFmtId="0" fontId="69" fillId="13" borderId="36" xfId="0" applyFont="1" applyFill="1" applyBorder="1" applyAlignment="1">
      <alignment horizontal="center" vertical="center" wrapText="1"/>
    </xf>
    <xf numFmtId="10" fontId="45" fillId="0" borderId="35" xfId="3" applyNumberFormat="1" applyFont="1" applyFill="1" applyBorder="1" applyAlignment="1">
      <alignment horizontal="center" vertical="center"/>
    </xf>
    <xf numFmtId="10" fontId="45" fillId="0" borderId="36" xfId="3" applyNumberFormat="1" applyFont="1" applyFill="1" applyBorder="1" applyAlignment="1">
      <alignment horizontal="center" vertical="center"/>
    </xf>
    <xf numFmtId="0" fontId="52" fillId="15" borderId="8" xfId="0" applyFont="1" applyFill="1" applyBorder="1" applyAlignment="1">
      <alignment horizontal="center" vertical="center"/>
    </xf>
    <xf numFmtId="0" fontId="52" fillId="15" borderId="18" xfId="0" applyFont="1" applyFill="1" applyBorder="1" applyAlignment="1">
      <alignment horizontal="center" vertical="center"/>
    </xf>
    <xf numFmtId="0" fontId="52" fillId="15" borderId="9" xfId="0" applyFont="1" applyFill="1" applyBorder="1" applyAlignment="1">
      <alignment horizontal="center" vertical="center"/>
    </xf>
    <xf numFmtId="0" fontId="52" fillId="15" borderId="24" xfId="0" applyFont="1" applyFill="1" applyBorder="1" applyAlignment="1">
      <alignment horizontal="center" vertical="center"/>
    </xf>
    <xf numFmtId="0" fontId="52" fillId="15" borderId="0" xfId="0" applyFont="1" applyFill="1" applyAlignment="1">
      <alignment horizontal="center" vertical="center"/>
    </xf>
    <xf numFmtId="0" fontId="52" fillId="15" borderId="19" xfId="0" applyFont="1" applyFill="1" applyBorder="1" applyAlignment="1">
      <alignment horizontal="center" vertical="center"/>
    </xf>
    <xf numFmtId="0" fontId="52" fillId="15" borderId="10" xfId="0" applyFont="1" applyFill="1" applyBorder="1" applyAlignment="1">
      <alignment horizontal="center" vertical="center"/>
    </xf>
    <xf numFmtId="0" fontId="52" fillId="15" borderId="17" xfId="0" applyFont="1" applyFill="1" applyBorder="1" applyAlignment="1">
      <alignment horizontal="center" vertical="center"/>
    </xf>
    <xf numFmtId="0" fontId="52" fillId="15" borderId="11" xfId="0" applyFont="1" applyFill="1" applyBorder="1" applyAlignment="1">
      <alignment horizontal="center" vertical="center"/>
    </xf>
    <xf numFmtId="0" fontId="29" fillId="16" borderId="0" xfId="0" applyFont="1" applyFill="1" applyAlignment="1">
      <alignment horizontal="center" vertical="center" wrapText="1"/>
    </xf>
    <xf numFmtId="166" fontId="29" fillId="16" borderId="0" xfId="2" applyNumberFormat="1" applyFont="1" applyFill="1" applyAlignment="1">
      <alignment horizontal="center" vertical="center"/>
    </xf>
    <xf numFmtId="44" fontId="70" fillId="15" borderId="3" xfId="0" applyNumberFormat="1" applyFont="1" applyFill="1" applyBorder="1"/>
    <xf numFmtId="0" fontId="70" fillId="15" borderId="31" xfId="0" applyFont="1" applyFill="1" applyBorder="1"/>
    <xf numFmtId="44" fontId="18" fillId="17" borderId="3" xfId="2" applyFont="1" applyFill="1" applyBorder="1" applyAlignment="1"/>
    <xf numFmtId="44" fontId="18" fillId="17" borderId="31" xfId="2" applyFont="1" applyFill="1" applyBorder="1" applyAlignment="1"/>
    <xf numFmtId="44" fontId="46" fillId="0" borderId="32" xfId="0" applyNumberFormat="1" applyFont="1" applyBorder="1"/>
    <xf numFmtId="0" fontId="46" fillId="0" borderId="32" xfId="0" applyFont="1" applyBorder="1"/>
    <xf numFmtId="0" fontId="54" fillId="5" borderId="8" xfId="0" applyFont="1" applyFill="1" applyBorder="1" applyAlignment="1">
      <alignment horizontal="center" vertical="center" wrapText="1"/>
    </xf>
    <xf numFmtId="0" fontId="54" fillId="5" borderId="9" xfId="0" applyFont="1" applyFill="1" applyBorder="1" applyAlignment="1">
      <alignment horizontal="center" vertical="center"/>
    </xf>
    <xf numFmtId="0" fontId="54" fillId="5" borderId="10" xfId="0" applyFont="1" applyFill="1" applyBorder="1" applyAlignment="1">
      <alignment horizontal="center" vertical="center"/>
    </xf>
    <xf numFmtId="0" fontId="54" fillId="5" borderId="11" xfId="0" applyFont="1" applyFill="1" applyBorder="1" applyAlignment="1">
      <alignment horizontal="center" vertical="center"/>
    </xf>
    <xf numFmtId="0" fontId="54" fillId="5" borderId="9" xfId="0" applyFont="1" applyFill="1" applyBorder="1" applyAlignment="1">
      <alignment horizontal="center" vertical="center" wrapText="1"/>
    </xf>
    <xf numFmtId="0" fontId="54" fillId="5" borderId="10" xfId="0" applyFont="1" applyFill="1" applyBorder="1" applyAlignment="1">
      <alignment horizontal="center" vertical="center" wrapText="1"/>
    </xf>
    <xf numFmtId="0" fontId="54" fillId="5" borderId="11" xfId="0" applyFont="1" applyFill="1" applyBorder="1" applyAlignment="1">
      <alignment horizontal="center" vertical="center" wrapText="1"/>
    </xf>
    <xf numFmtId="44" fontId="46" fillId="0" borderId="1" xfId="0" applyNumberFormat="1" applyFont="1" applyBorder="1"/>
    <xf numFmtId="0" fontId="46" fillId="0" borderId="1" xfId="0" applyFont="1" applyBorder="1"/>
    <xf numFmtId="0" fontId="68" fillId="16" borderId="0" xfId="0" applyFont="1" applyFill="1" applyAlignment="1">
      <alignment horizontal="center" vertical="center" wrapText="1"/>
    </xf>
    <xf numFmtId="0" fontId="29" fillId="16" borderId="0" xfId="0" applyFont="1" applyFill="1" applyAlignment="1">
      <alignment horizontal="center" vertical="top"/>
    </xf>
    <xf numFmtId="44" fontId="46" fillId="0" borderId="3" xfId="2" applyFont="1" applyFill="1" applyBorder="1" applyAlignment="1"/>
    <xf numFmtId="44" fontId="46" fillId="0" borderId="31" xfId="2" applyFont="1" applyFill="1" applyBorder="1" applyAlignment="1"/>
    <xf numFmtId="44" fontId="46" fillId="0" borderId="3" xfId="0" applyNumberFormat="1" applyFont="1" applyBorder="1"/>
    <xf numFmtId="0" fontId="46" fillId="0" borderId="31" xfId="0" applyFont="1" applyBorder="1"/>
    <xf numFmtId="44" fontId="18" fillId="17" borderId="3" xfId="2" applyFont="1" applyFill="1" applyBorder="1" applyAlignment="1">
      <alignment horizontal="right"/>
    </xf>
    <xf numFmtId="44" fontId="18" fillId="17" borderId="31" xfId="2" applyFont="1" applyFill="1" applyBorder="1" applyAlignment="1">
      <alignment horizontal="right"/>
    </xf>
    <xf numFmtId="0" fontId="53" fillId="15" borderId="8" xfId="0" applyFont="1" applyFill="1" applyBorder="1" applyAlignment="1">
      <alignment horizontal="center" vertical="center"/>
    </xf>
    <xf numFmtId="0" fontId="53" fillId="15" borderId="18" xfId="0" applyFont="1" applyFill="1" applyBorder="1" applyAlignment="1">
      <alignment horizontal="center" vertical="center"/>
    </xf>
    <xf numFmtId="0" fontId="53" fillId="15" borderId="9" xfId="0" applyFont="1" applyFill="1" applyBorder="1" applyAlignment="1">
      <alignment horizontal="center" vertical="center"/>
    </xf>
    <xf numFmtId="0" fontId="53" fillId="15" borderId="24" xfId="0" applyFont="1" applyFill="1" applyBorder="1" applyAlignment="1">
      <alignment horizontal="center" vertical="center"/>
    </xf>
    <xf numFmtId="0" fontId="53" fillId="15" borderId="0" xfId="0" applyFont="1" applyFill="1" applyAlignment="1">
      <alignment horizontal="center" vertical="center"/>
    </xf>
    <xf numFmtId="0" fontId="53" fillId="15" borderId="19" xfId="0" applyFont="1" applyFill="1" applyBorder="1" applyAlignment="1">
      <alignment horizontal="center" vertical="center"/>
    </xf>
    <xf numFmtId="0" fontId="53" fillId="15" borderId="10" xfId="0" applyFont="1" applyFill="1" applyBorder="1" applyAlignment="1">
      <alignment horizontal="center" vertical="center"/>
    </xf>
    <xf numFmtId="0" fontId="53" fillId="15" borderId="17" xfId="0" applyFont="1" applyFill="1" applyBorder="1" applyAlignment="1">
      <alignment horizontal="center" vertical="center"/>
    </xf>
    <xf numFmtId="0" fontId="53" fillId="15" borderId="11" xfId="0" applyFont="1" applyFill="1" applyBorder="1" applyAlignment="1">
      <alignment horizontal="center" vertical="center"/>
    </xf>
    <xf numFmtId="0" fontId="54" fillId="5" borderId="8" xfId="0" applyFont="1" applyFill="1" applyBorder="1" applyAlignment="1">
      <alignment horizontal="center" vertical="center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9" defaultPivotStyle="PivotStyleLight16"/>
  <colors>
    <mruColors>
      <color rgb="FF85983A"/>
      <color rgb="FFE5EBCB"/>
      <color rgb="FF004B26"/>
      <color rgb="FFC4D28A"/>
      <color rgb="FF0859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11</xdr:col>
      <xdr:colOff>275408</xdr:colOff>
      <xdr:row>8</xdr:row>
      <xdr:rowOff>152104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FC1C584-8507-46D7-A464-9AEA6AE7A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0475" y="0"/>
          <a:ext cx="6533333" cy="2371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485774</xdr:colOff>
      <xdr:row>20</xdr:row>
      <xdr:rowOff>114299</xdr:rowOff>
    </xdr:from>
    <xdr:to>
      <xdr:col>3</xdr:col>
      <xdr:colOff>474755</xdr:colOff>
      <xdr:row>30</xdr:row>
      <xdr:rowOff>104774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B1A8CCE-FFC7-4D32-9053-3275FCF0A8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4" y="5019674"/>
          <a:ext cx="4256181" cy="1895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14653</xdr:colOff>
      <xdr:row>2</xdr:row>
      <xdr:rowOff>0</xdr:rowOff>
    </xdr:from>
    <xdr:to>
      <xdr:col>22</xdr:col>
      <xdr:colOff>29308</xdr:colOff>
      <xdr:row>2</xdr:row>
      <xdr:rowOff>29307</xdr:rowOff>
    </xdr:to>
    <xdr:cxnSp macro="">
      <xdr:nvCxnSpPr>
        <xdr:cNvPr id="3" name="Conector reto 2">
          <a:extLst>
            <a:ext uri="{FF2B5EF4-FFF2-40B4-BE49-F238E27FC236}">
              <a16:creationId xmlns:a16="http://schemas.microsoft.com/office/drawing/2014/main" id="{B6ED9B04-E39D-4E35-AEDA-0649FD444A15}"/>
            </a:ext>
          </a:extLst>
        </xdr:cNvPr>
        <xdr:cNvCxnSpPr/>
      </xdr:nvCxnSpPr>
      <xdr:spPr>
        <a:xfrm flipV="1">
          <a:off x="14653" y="512885"/>
          <a:ext cx="22098001" cy="29307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73341</xdr:colOff>
      <xdr:row>9</xdr:row>
      <xdr:rowOff>51720</xdr:rowOff>
    </xdr:from>
    <xdr:to>
      <xdr:col>22</xdr:col>
      <xdr:colOff>58615</xdr:colOff>
      <xdr:row>9</xdr:row>
      <xdr:rowOff>77653</xdr:rowOff>
    </xdr:to>
    <xdr:cxnSp macro="">
      <xdr:nvCxnSpPr>
        <xdr:cNvPr id="4" name="Conector reto 3">
          <a:extLst>
            <a:ext uri="{FF2B5EF4-FFF2-40B4-BE49-F238E27FC236}">
              <a16:creationId xmlns:a16="http://schemas.microsoft.com/office/drawing/2014/main" id="{4102A0DF-3687-4604-B4BD-B39519386C3F}"/>
            </a:ext>
          </a:extLst>
        </xdr:cNvPr>
        <xdr:cNvCxnSpPr/>
      </xdr:nvCxnSpPr>
      <xdr:spPr>
        <a:xfrm flipV="1">
          <a:off x="73341" y="3011797"/>
          <a:ext cx="22918543" cy="25933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21</xdr:col>
      <xdr:colOff>468923</xdr:colOff>
      <xdr:row>0</xdr:row>
      <xdr:rowOff>102577</xdr:rowOff>
    </xdr:from>
    <xdr:to>
      <xdr:col>21</xdr:col>
      <xdr:colOff>1186961</xdr:colOff>
      <xdr:row>1</xdr:row>
      <xdr:rowOff>273316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C683D13-0B13-45D8-964C-71E5B3E29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10077" y="102577"/>
          <a:ext cx="718038" cy="5370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12990</xdr:colOff>
      <xdr:row>2</xdr:row>
      <xdr:rowOff>0</xdr:rowOff>
    </xdr:from>
    <xdr:to>
      <xdr:col>18</xdr:col>
      <xdr:colOff>0</xdr:colOff>
      <xdr:row>2</xdr:row>
      <xdr:rowOff>15209</xdr:rowOff>
    </xdr:to>
    <xdr:cxnSp macro="">
      <xdr:nvCxnSpPr>
        <xdr:cNvPr id="3" name="Conector reto 2">
          <a:extLst>
            <a:ext uri="{FF2B5EF4-FFF2-40B4-BE49-F238E27FC236}">
              <a16:creationId xmlns:a16="http://schemas.microsoft.com/office/drawing/2014/main" id="{84589243-8230-4D1E-A891-033029D594BC}"/>
            </a:ext>
          </a:extLst>
        </xdr:cNvPr>
        <xdr:cNvCxnSpPr/>
      </xdr:nvCxnSpPr>
      <xdr:spPr>
        <a:xfrm flipV="1">
          <a:off x="12990" y="680357"/>
          <a:ext cx="14124831" cy="15209"/>
        </a:xfrm>
        <a:prstGeom prst="line">
          <a:avLst/>
        </a:prstGeom>
        <a:ln>
          <a:solidFill>
            <a:schemeClr val="bg1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2744</xdr:colOff>
      <xdr:row>6</xdr:row>
      <xdr:rowOff>40821</xdr:rowOff>
    </xdr:from>
    <xdr:to>
      <xdr:col>18</xdr:col>
      <xdr:colOff>13608</xdr:colOff>
      <xdr:row>6</xdr:row>
      <xdr:rowOff>55551</xdr:rowOff>
    </xdr:to>
    <xdr:cxnSp macro="">
      <xdr:nvCxnSpPr>
        <xdr:cNvPr id="4" name="Conector reto 3">
          <a:extLst>
            <a:ext uri="{FF2B5EF4-FFF2-40B4-BE49-F238E27FC236}">
              <a16:creationId xmlns:a16="http://schemas.microsoft.com/office/drawing/2014/main" id="{E0AC5063-449F-4E3E-AAF0-26B4C416A1BC}"/>
            </a:ext>
          </a:extLst>
        </xdr:cNvPr>
        <xdr:cNvCxnSpPr/>
      </xdr:nvCxnSpPr>
      <xdr:spPr>
        <a:xfrm flipV="1">
          <a:off x="2744" y="2027464"/>
          <a:ext cx="14148685" cy="14730"/>
        </a:xfrm>
        <a:prstGeom prst="line">
          <a:avLst/>
        </a:prstGeom>
        <a:ln>
          <a:solidFill>
            <a:schemeClr val="bg1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6804</xdr:colOff>
      <xdr:row>5</xdr:row>
      <xdr:rowOff>54430</xdr:rowOff>
    </xdr:from>
    <xdr:to>
      <xdr:col>6</xdr:col>
      <xdr:colOff>0</xdr:colOff>
      <xdr:row>5</xdr:row>
      <xdr:rowOff>57150</xdr:rowOff>
    </xdr:to>
    <xdr:cxnSp macro="">
      <xdr:nvCxnSpPr>
        <xdr:cNvPr id="5" name="Conector reto 4">
          <a:extLst>
            <a:ext uri="{FF2B5EF4-FFF2-40B4-BE49-F238E27FC236}">
              <a16:creationId xmlns:a16="http://schemas.microsoft.com/office/drawing/2014/main" id="{EC9F639B-CD8C-4D69-BE97-46115F9ED186}"/>
            </a:ext>
          </a:extLst>
        </xdr:cNvPr>
        <xdr:cNvCxnSpPr/>
      </xdr:nvCxnSpPr>
      <xdr:spPr>
        <a:xfrm>
          <a:off x="3664404" y="1626055"/>
          <a:ext cx="3603171" cy="2720"/>
        </a:xfrm>
        <a:prstGeom prst="line">
          <a:avLst/>
        </a:prstGeom>
        <a:ln>
          <a:solidFill>
            <a:schemeClr val="bg1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149679</xdr:colOff>
      <xdr:row>5</xdr:row>
      <xdr:rowOff>37761</xdr:rowOff>
    </xdr:from>
    <xdr:to>
      <xdr:col>16</xdr:col>
      <xdr:colOff>1357312</xdr:colOff>
      <xdr:row>5</xdr:row>
      <xdr:rowOff>40481</xdr:rowOff>
    </xdr:to>
    <xdr:cxnSp macro="">
      <xdr:nvCxnSpPr>
        <xdr:cNvPr id="12" name="Conector reto 11">
          <a:extLst>
            <a:ext uri="{FF2B5EF4-FFF2-40B4-BE49-F238E27FC236}">
              <a16:creationId xmlns:a16="http://schemas.microsoft.com/office/drawing/2014/main" id="{2A3E1393-421E-4601-BCD4-4E1D1AA44163}"/>
            </a:ext>
          </a:extLst>
        </xdr:cNvPr>
        <xdr:cNvCxnSpPr/>
      </xdr:nvCxnSpPr>
      <xdr:spPr>
        <a:xfrm>
          <a:off x="10722429" y="2133261"/>
          <a:ext cx="4208008" cy="2720"/>
        </a:xfrm>
        <a:prstGeom prst="line">
          <a:avLst/>
        </a:prstGeom>
        <a:ln>
          <a:solidFill>
            <a:schemeClr val="bg1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403495</xdr:colOff>
      <xdr:row>5</xdr:row>
      <xdr:rowOff>57232</xdr:rowOff>
    </xdr:from>
    <xdr:to>
      <xdr:col>11</xdr:col>
      <xdr:colOff>609603</xdr:colOff>
      <xdr:row>5</xdr:row>
      <xdr:rowOff>59952</xdr:rowOff>
    </xdr:to>
    <xdr:cxnSp macro="">
      <xdr:nvCxnSpPr>
        <xdr:cNvPr id="99" name="Conector reto 98">
          <a:extLst>
            <a:ext uri="{FF2B5EF4-FFF2-40B4-BE49-F238E27FC236}">
              <a16:creationId xmlns:a16="http://schemas.microsoft.com/office/drawing/2014/main" id="{88A61512-74DD-4B6E-A51F-54EB5DC7007D}"/>
            </a:ext>
          </a:extLst>
        </xdr:cNvPr>
        <xdr:cNvCxnSpPr/>
      </xdr:nvCxnSpPr>
      <xdr:spPr>
        <a:xfrm>
          <a:off x="6185730" y="1704497"/>
          <a:ext cx="3859226" cy="2720"/>
        </a:xfrm>
        <a:prstGeom prst="line">
          <a:avLst/>
        </a:prstGeom>
        <a:ln>
          <a:solidFill>
            <a:schemeClr val="bg1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11286</xdr:colOff>
      <xdr:row>4</xdr:row>
      <xdr:rowOff>7178</xdr:rowOff>
    </xdr:from>
    <xdr:to>
      <xdr:col>6</xdr:col>
      <xdr:colOff>4482</xdr:colOff>
      <xdr:row>4</xdr:row>
      <xdr:rowOff>7178</xdr:rowOff>
    </xdr:to>
    <xdr:cxnSp macro="">
      <xdr:nvCxnSpPr>
        <xdr:cNvPr id="100" name="Conector reto 99">
          <a:extLst>
            <a:ext uri="{FF2B5EF4-FFF2-40B4-BE49-F238E27FC236}">
              <a16:creationId xmlns:a16="http://schemas.microsoft.com/office/drawing/2014/main" id="{97CCEBEF-30EE-4B42-893C-76B18333E4DB}"/>
            </a:ext>
          </a:extLst>
        </xdr:cNvPr>
        <xdr:cNvCxnSpPr/>
      </xdr:nvCxnSpPr>
      <xdr:spPr>
        <a:xfrm>
          <a:off x="1376536" y="1578803"/>
          <a:ext cx="3628571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142256</xdr:colOff>
      <xdr:row>4</xdr:row>
      <xdr:rowOff>15910</xdr:rowOff>
    </xdr:from>
    <xdr:to>
      <xdr:col>16</xdr:col>
      <xdr:colOff>1349889</xdr:colOff>
      <xdr:row>4</xdr:row>
      <xdr:rowOff>18630</xdr:rowOff>
    </xdr:to>
    <xdr:cxnSp macro="">
      <xdr:nvCxnSpPr>
        <xdr:cNvPr id="101" name="Conector reto 100">
          <a:extLst>
            <a:ext uri="{FF2B5EF4-FFF2-40B4-BE49-F238E27FC236}">
              <a16:creationId xmlns:a16="http://schemas.microsoft.com/office/drawing/2014/main" id="{CFC429E3-3BC9-4310-B83F-930F4ED021F7}"/>
            </a:ext>
          </a:extLst>
        </xdr:cNvPr>
        <xdr:cNvCxnSpPr/>
      </xdr:nvCxnSpPr>
      <xdr:spPr>
        <a:xfrm>
          <a:off x="10715006" y="1647066"/>
          <a:ext cx="4208008" cy="2720"/>
        </a:xfrm>
        <a:prstGeom prst="line">
          <a:avLst/>
        </a:prstGeom>
        <a:ln>
          <a:solidFill>
            <a:schemeClr val="bg1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407977</xdr:colOff>
      <xdr:row>4</xdr:row>
      <xdr:rowOff>23474</xdr:rowOff>
    </xdr:from>
    <xdr:to>
      <xdr:col>11</xdr:col>
      <xdr:colOff>614085</xdr:colOff>
      <xdr:row>4</xdr:row>
      <xdr:rowOff>26194</xdr:rowOff>
    </xdr:to>
    <xdr:cxnSp macro="">
      <xdr:nvCxnSpPr>
        <xdr:cNvPr id="102" name="Conector reto 101">
          <a:extLst>
            <a:ext uri="{FF2B5EF4-FFF2-40B4-BE49-F238E27FC236}">
              <a16:creationId xmlns:a16="http://schemas.microsoft.com/office/drawing/2014/main" id="{C343E1C4-8937-4F89-A16E-96913586B3AD}"/>
            </a:ext>
          </a:extLst>
        </xdr:cNvPr>
        <xdr:cNvCxnSpPr/>
      </xdr:nvCxnSpPr>
      <xdr:spPr>
        <a:xfrm>
          <a:off x="5622915" y="1654630"/>
          <a:ext cx="4420920" cy="2720"/>
        </a:xfrm>
        <a:prstGeom prst="line">
          <a:avLst/>
        </a:prstGeom>
        <a:ln>
          <a:solidFill>
            <a:schemeClr val="bg1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16</xdr:col>
      <xdr:colOff>1321595</xdr:colOff>
      <xdr:row>0</xdr:row>
      <xdr:rowOff>202406</xdr:rowOff>
    </xdr:from>
    <xdr:to>
      <xdr:col>17</xdr:col>
      <xdr:colOff>784235</xdr:colOff>
      <xdr:row>1</xdr:row>
      <xdr:rowOff>369093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5BBE4631-2BBA-8F4E-83B3-3C9F18606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4720" y="202406"/>
          <a:ext cx="891390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8"/>
  <sheetViews>
    <sheetView showGridLines="0" zoomScale="70" zoomScaleNormal="70" workbookViewId="0">
      <selection activeCell="N17" sqref="N17:O17"/>
    </sheetView>
  </sheetViews>
  <sheetFormatPr defaultColWidth="0" defaultRowHeight="26.25" zeroHeight="1"/>
  <cols>
    <col min="1" max="1" width="43.42578125" style="24" bestFit="1" customWidth="1"/>
    <col min="2" max="13" width="23.140625" customWidth="1"/>
    <col min="14" max="14" width="4.42578125" customWidth="1"/>
    <col min="15" max="15" width="24.5703125" bestFit="1" customWidth="1"/>
    <col min="16" max="16" width="3.7109375" customWidth="1"/>
    <col min="17" max="19" width="21.85546875" customWidth="1"/>
    <col min="20" max="20" width="50.140625" bestFit="1" customWidth="1"/>
    <col min="21" max="21" width="21.85546875" customWidth="1"/>
    <col min="22" max="37" width="0" hidden="1" customWidth="1"/>
    <col min="38" max="16384" width="21.85546875" hidden="1"/>
  </cols>
  <sheetData>
    <row r="1" spans="1:21" s="17" customFormat="1" ht="27" thickBot="1">
      <c r="A1" s="18"/>
      <c r="B1" s="16" t="s">
        <v>25</v>
      </c>
      <c r="C1" s="16" t="s">
        <v>26</v>
      </c>
      <c r="D1" s="16" t="s">
        <v>27</v>
      </c>
      <c r="E1" s="16" t="s">
        <v>28</v>
      </c>
      <c r="F1" s="16" t="s">
        <v>29</v>
      </c>
      <c r="G1" s="16" t="s">
        <v>30</v>
      </c>
      <c r="H1" s="16" t="s">
        <v>31</v>
      </c>
      <c r="I1" s="16" t="s">
        <v>32</v>
      </c>
      <c r="J1" s="16" t="s">
        <v>33</v>
      </c>
      <c r="K1" s="16" t="s">
        <v>34</v>
      </c>
      <c r="L1" s="16" t="s">
        <v>35</v>
      </c>
      <c r="M1" s="16" t="s">
        <v>36</v>
      </c>
      <c r="O1" s="16" t="s">
        <v>37</v>
      </c>
      <c r="Q1" s="13" t="s">
        <v>38</v>
      </c>
    </row>
    <row r="2" spans="1:21" s="1" customFormat="1" thickBot="1">
      <c r="A2" s="19" t="s">
        <v>1</v>
      </c>
      <c r="B2" s="6">
        <f>CALCULADORA!C18</f>
        <v>0</v>
      </c>
      <c r="C2" s="6">
        <f>B2</f>
        <v>0</v>
      </c>
      <c r="D2" s="6">
        <f t="shared" ref="D2:M2" si="0">C2</f>
        <v>0</v>
      </c>
      <c r="E2" s="6">
        <f t="shared" si="0"/>
        <v>0</v>
      </c>
      <c r="F2" s="6">
        <f t="shared" si="0"/>
        <v>0</v>
      </c>
      <c r="G2" s="6">
        <f t="shared" si="0"/>
        <v>0</v>
      </c>
      <c r="H2" s="6">
        <f t="shared" si="0"/>
        <v>0</v>
      </c>
      <c r="I2" s="6">
        <f t="shared" si="0"/>
        <v>0</v>
      </c>
      <c r="J2" s="6">
        <f t="shared" si="0"/>
        <v>0</v>
      </c>
      <c r="K2" s="6">
        <f t="shared" si="0"/>
        <v>0</v>
      </c>
      <c r="L2" s="6">
        <f t="shared" si="0"/>
        <v>0</v>
      </c>
      <c r="M2" s="6">
        <f t="shared" si="0"/>
        <v>0</v>
      </c>
      <c r="O2" s="25">
        <f>SUM(B2:M2)</f>
        <v>0</v>
      </c>
      <c r="Q2" s="13" t="s">
        <v>8</v>
      </c>
      <c r="R2" s="13" t="s">
        <v>9</v>
      </c>
      <c r="S2" s="13" t="s">
        <v>10</v>
      </c>
      <c r="T2" s="13" t="s">
        <v>11</v>
      </c>
    </row>
    <row r="3" spans="1:21" s="1" customFormat="1" thickBot="1">
      <c r="A3" s="19" t="s">
        <v>2</v>
      </c>
      <c r="B3" s="7">
        <f>CALCULADORA!$C$19</f>
        <v>12000</v>
      </c>
      <c r="C3" s="7">
        <f>CALCULADORA!$C$19</f>
        <v>12000</v>
      </c>
      <c r="D3" s="7">
        <f>CALCULADORA!$C$19</f>
        <v>12000</v>
      </c>
      <c r="E3" s="7">
        <f>CALCULADORA!$C$19</f>
        <v>12000</v>
      </c>
      <c r="F3" s="7">
        <f>CALCULADORA!$C$19</f>
        <v>12000</v>
      </c>
      <c r="G3" s="7">
        <f>CALCULADORA!$C$19</f>
        <v>12000</v>
      </c>
      <c r="H3" s="7">
        <f>CALCULADORA!$C$19</f>
        <v>12000</v>
      </c>
      <c r="I3" s="7">
        <f>CALCULADORA!$C$19</f>
        <v>12000</v>
      </c>
      <c r="J3" s="7">
        <f>CALCULADORA!$C$19</f>
        <v>12000</v>
      </c>
      <c r="K3" s="7">
        <f>CALCULADORA!$C$19</f>
        <v>12000</v>
      </c>
      <c r="L3" s="7">
        <f>CALCULADORA!$C$19</f>
        <v>12000</v>
      </c>
      <c r="M3" s="7">
        <f>CALCULADORA!$C$19</f>
        <v>12000</v>
      </c>
      <c r="O3" s="25">
        <f>SUM(B3:M3)</f>
        <v>144000</v>
      </c>
      <c r="Q3" s="26" t="s">
        <v>12</v>
      </c>
      <c r="R3" s="27">
        <v>0.06</v>
      </c>
      <c r="S3" s="26" t="s">
        <v>13</v>
      </c>
      <c r="T3" s="26" t="s">
        <v>14</v>
      </c>
    </row>
    <row r="4" spans="1:21" s="1" customFormat="1" ht="27" thickBot="1">
      <c r="A4" s="20" t="s">
        <v>0</v>
      </c>
      <c r="B4" s="10">
        <f t="shared" ref="B4:M4" si="1">SUM(B2:B3)</f>
        <v>12000</v>
      </c>
      <c r="C4" s="10">
        <f t="shared" si="1"/>
        <v>12000</v>
      </c>
      <c r="D4" s="10">
        <f t="shared" si="1"/>
        <v>12000</v>
      </c>
      <c r="E4" s="10">
        <f t="shared" si="1"/>
        <v>12000</v>
      </c>
      <c r="F4" s="10">
        <f t="shared" si="1"/>
        <v>12000</v>
      </c>
      <c r="G4" s="10">
        <f t="shared" si="1"/>
        <v>12000</v>
      </c>
      <c r="H4" s="10">
        <f t="shared" si="1"/>
        <v>12000</v>
      </c>
      <c r="I4" s="10">
        <f t="shared" si="1"/>
        <v>12000</v>
      </c>
      <c r="J4" s="10">
        <f t="shared" si="1"/>
        <v>12000</v>
      </c>
      <c r="K4" s="10">
        <f t="shared" si="1"/>
        <v>12000</v>
      </c>
      <c r="L4" s="10">
        <f t="shared" si="1"/>
        <v>12000</v>
      </c>
      <c r="M4" s="10">
        <f t="shared" si="1"/>
        <v>12000</v>
      </c>
      <c r="O4" s="10">
        <f>SUM(B4:M4)</f>
        <v>144000</v>
      </c>
      <c r="Q4" s="28" t="s">
        <v>15</v>
      </c>
      <c r="R4" s="29">
        <v>0.112</v>
      </c>
      <c r="S4" s="30">
        <v>9360</v>
      </c>
      <c r="T4" s="28" t="s">
        <v>16</v>
      </c>
    </row>
    <row r="5" spans="1:21" s="2" customFormat="1" ht="27" thickBot="1">
      <c r="A5" s="2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6" t="s">
        <v>17</v>
      </c>
      <c r="R5" s="27">
        <v>0.13500000000000001</v>
      </c>
      <c r="S5" s="31">
        <v>17640</v>
      </c>
      <c r="T5" s="26" t="s">
        <v>18</v>
      </c>
      <c r="U5" s="1"/>
    </row>
    <row r="6" spans="1:21" s="2" customFormat="1" ht="30.75" thickBot="1">
      <c r="A6" s="241"/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Q6" s="28" t="s">
        <v>19</v>
      </c>
      <c r="R6" s="29">
        <v>0.16</v>
      </c>
      <c r="S6" s="30">
        <v>35640</v>
      </c>
      <c r="T6" s="28" t="s">
        <v>20</v>
      </c>
      <c r="U6" s="1"/>
    </row>
    <row r="7" spans="1:21" s="1" customFormat="1" thickBot="1">
      <c r="A7" s="22" t="s">
        <v>5</v>
      </c>
      <c r="B7" s="9">
        <f>SUM(B4)*12</f>
        <v>144000</v>
      </c>
      <c r="C7" s="9">
        <f t="shared" ref="C7:M7" si="2">SUM(C4)*12</f>
        <v>144000</v>
      </c>
      <c r="D7" s="9">
        <f t="shared" si="2"/>
        <v>144000</v>
      </c>
      <c r="E7" s="9">
        <f t="shared" si="2"/>
        <v>144000</v>
      </c>
      <c r="F7" s="9">
        <f t="shared" si="2"/>
        <v>144000</v>
      </c>
      <c r="G7" s="9">
        <f t="shared" si="2"/>
        <v>144000</v>
      </c>
      <c r="H7" s="9">
        <f t="shared" si="2"/>
        <v>144000</v>
      </c>
      <c r="I7" s="9">
        <f t="shared" si="2"/>
        <v>144000</v>
      </c>
      <c r="J7" s="9">
        <f t="shared" si="2"/>
        <v>144000</v>
      </c>
      <c r="K7" s="9">
        <f t="shared" si="2"/>
        <v>144000</v>
      </c>
      <c r="L7" s="9">
        <f t="shared" si="2"/>
        <v>144000</v>
      </c>
      <c r="M7" s="9">
        <f t="shared" si="2"/>
        <v>144000</v>
      </c>
      <c r="Q7" s="26" t="s">
        <v>21</v>
      </c>
      <c r="R7" s="27">
        <v>0.21</v>
      </c>
      <c r="S7" s="31">
        <v>125640</v>
      </c>
      <c r="T7" s="26" t="s">
        <v>22</v>
      </c>
    </row>
    <row r="8" spans="1:21" s="1" customFormat="1" thickBot="1">
      <c r="A8" s="22" t="s">
        <v>3</v>
      </c>
      <c r="B8" s="14" t="str">
        <f>IF(B7&lt;=180000,"6%",IF(AND(B7&gt;180000,B7&lt;=360000),"11,20%",IF(AND(B7&gt;360000,B7&lt;=720000),"13,5%",IF(AND(B7&gt;720000,B7&lt;=1800000),"16%",IF(AND(B7&gt;1800000,B7&lt;=3600000),"21%",IF(AND(B7&gt;3600000,B7&lt;=4800000),"33%",0))))))</f>
        <v>6%</v>
      </c>
      <c r="C8" s="14" t="str">
        <f t="shared" ref="C8:M8" si="3">IF(C7&lt;=180000,"6%",IF(AND(C7&gt;180000,C7&lt;=360000),"11,20%",IF(AND(C7&gt;360000,C7&lt;=720000),"13,5%",IF(AND(C7&gt;720000,C7&lt;=1800000),"16%",IF(AND(C7&gt;1800000,C7&lt;=3600000),"21%",IF(AND(C7&gt;3600000,C7&lt;=4800000),"33%",0))))))</f>
        <v>6%</v>
      </c>
      <c r="D8" s="14" t="str">
        <f t="shared" si="3"/>
        <v>6%</v>
      </c>
      <c r="E8" s="14" t="str">
        <f t="shared" si="3"/>
        <v>6%</v>
      </c>
      <c r="F8" s="14" t="str">
        <f t="shared" si="3"/>
        <v>6%</v>
      </c>
      <c r="G8" s="14" t="str">
        <f t="shared" si="3"/>
        <v>6%</v>
      </c>
      <c r="H8" s="14" t="str">
        <f t="shared" si="3"/>
        <v>6%</v>
      </c>
      <c r="I8" s="14" t="str">
        <f t="shared" si="3"/>
        <v>6%</v>
      </c>
      <c r="J8" s="14" t="str">
        <f t="shared" si="3"/>
        <v>6%</v>
      </c>
      <c r="K8" s="14" t="str">
        <f t="shared" si="3"/>
        <v>6%</v>
      </c>
      <c r="L8" s="14" t="str">
        <f t="shared" si="3"/>
        <v>6%</v>
      </c>
      <c r="M8" s="14" t="str">
        <f t="shared" si="3"/>
        <v>6%</v>
      </c>
      <c r="Q8" s="28" t="s">
        <v>23</v>
      </c>
      <c r="R8" s="29">
        <v>0.33</v>
      </c>
      <c r="S8" s="30">
        <v>648000</v>
      </c>
      <c r="T8" s="28" t="s">
        <v>24</v>
      </c>
      <c r="U8" s="2"/>
    </row>
    <row r="9" spans="1:21" s="1" customFormat="1" ht="25.5">
      <c r="A9" s="22" t="s">
        <v>6</v>
      </c>
      <c r="B9" s="15" t="str">
        <f>IF(B7&lt;=180000,"0",IF(AND(B7&gt;180000,B7&lt;=360000),"9360",IF(AND(B7&gt;360000,B7&lt;=720000),"17640",IF(AND(B7&gt;720000,B7&lt;=1800000),"35640",IF(AND(B7&gt;1800000,B7&lt;=3600000),"125640",IF(AND(B7&gt;3600000,B7&lt;=4800000),"648000",0))))))</f>
        <v>0</v>
      </c>
      <c r="C9" s="15" t="str">
        <f t="shared" ref="C9:M9" si="4">IF(C7&lt;=180000,"0",IF(AND(C7&gt;180000,C7&lt;=360000),"9360",IF(AND(C7&gt;360000,C7&lt;=720000),"17640",IF(AND(C7&gt;720000,C7&lt;=1800000),"35640",IF(AND(C7&gt;1800000,C7&lt;=3600000),"125640",IF(AND(C7&gt;3600000,C7&lt;=4800000),"648000",0))))))</f>
        <v>0</v>
      </c>
      <c r="D9" s="15" t="str">
        <f t="shared" si="4"/>
        <v>0</v>
      </c>
      <c r="E9" s="15" t="str">
        <f t="shared" si="4"/>
        <v>0</v>
      </c>
      <c r="F9" s="15" t="str">
        <f t="shared" si="4"/>
        <v>0</v>
      </c>
      <c r="G9" s="15" t="str">
        <f t="shared" si="4"/>
        <v>0</v>
      </c>
      <c r="H9" s="15" t="str">
        <f t="shared" si="4"/>
        <v>0</v>
      </c>
      <c r="I9" s="15" t="str">
        <f t="shared" si="4"/>
        <v>0</v>
      </c>
      <c r="J9" s="15" t="str">
        <f t="shared" si="4"/>
        <v>0</v>
      </c>
      <c r="K9" s="15" t="str">
        <f t="shared" si="4"/>
        <v>0</v>
      </c>
      <c r="L9" s="15" t="str">
        <f t="shared" si="4"/>
        <v>0</v>
      </c>
      <c r="M9" s="15" t="str">
        <f t="shared" si="4"/>
        <v>0</v>
      </c>
      <c r="Q9"/>
      <c r="R9"/>
      <c r="S9"/>
      <c r="T9"/>
      <c r="U9"/>
    </row>
    <row r="10" spans="1:21" s="1" customFormat="1" ht="25.5">
      <c r="A10" s="22" t="s">
        <v>7</v>
      </c>
      <c r="B10" s="8">
        <f t="shared" ref="B10" si="5">(B7*B8-B9)/B7</f>
        <v>0.06</v>
      </c>
      <c r="C10" s="8">
        <f t="shared" ref="C10:M10" si="6">(C7*C8-C9)/C7</f>
        <v>0.06</v>
      </c>
      <c r="D10" s="8">
        <f t="shared" si="6"/>
        <v>0.06</v>
      </c>
      <c r="E10" s="8">
        <f t="shared" si="6"/>
        <v>0.06</v>
      </c>
      <c r="F10" s="8">
        <f t="shared" si="6"/>
        <v>0.06</v>
      </c>
      <c r="G10" s="8">
        <f t="shared" si="6"/>
        <v>0.06</v>
      </c>
      <c r="H10" s="8">
        <f t="shared" si="6"/>
        <v>0.06</v>
      </c>
      <c r="I10" s="8">
        <f t="shared" si="6"/>
        <v>0.06</v>
      </c>
      <c r="J10" s="8">
        <f t="shared" si="6"/>
        <v>0.06</v>
      </c>
      <c r="K10" s="8">
        <f t="shared" si="6"/>
        <v>0.06</v>
      </c>
      <c r="L10" s="8">
        <f t="shared" si="6"/>
        <v>0.06</v>
      </c>
      <c r="M10" s="8">
        <f t="shared" si="6"/>
        <v>0.06</v>
      </c>
      <c r="Q10"/>
      <c r="R10"/>
      <c r="S10"/>
      <c r="T10"/>
      <c r="U10"/>
    </row>
    <row r="11" spans="1:21" s="1" customFormat="1">
      <c r="A11" s="20" t="s">
        <v>4</v>
      </c>
      <c r="B11" s="11">
        <f>B4*B10</f>
        <v>720</v>
      </c>
      <c r="C11" s="11">
        <f t="shared" ref="C11:M11" si="7">C4*C10</f>
        <v>720</v>
      </c>
      <c r="D11" s="11">
        <f t="shared" si="7"/>
        <v>720</v>
      </c>
      <c r="E11" s="11">
        <f t="shared" si="7"/>
        <v>720</v>
      </c>
      <c r="F11" s="11">
        <f t="shared" si="7"/>
        <v>720</v>
      </c>
      <c r="G11" s="11">
        <f t="shared" si="7"/>
        <v>720</v>
      </c>
      <c r="H11" s="11">
        <f t="shared" si="7"/>
        <v>720</v>
      </c>
      <c r="I11" s="11">
        <f t="shared" si="7"/>
        <v>720</v>
      </c>
      <c r="J11" s="11">
        <f t="shared" si="7"/>
        <v>720</v>
      </c>
      <c r="K11" s="11">
        <f t="shared" si="7"/>
        <v>720</v>
      </c>
      <c r="L11" s="11">
        <f t="shared" si="7"/>
        <v>720</v>
      </c>
      <c r="M11" s="11">
        <f t="shared" si="7"/>
        <v>720</v>
      </c>
      <c r="O11" s="10">
        <f>SUM(B11:M11)</f>
        <v>8640</v>
      </c>
      <c r="Q11"/>
      <c r="R11"/>
      <c r="S11"/>
      <c r="T11"/>
      <c r="U11"/>
    </row>
    <row r="12" spans="1:21" s="1" customFormat="1" ht="25.5">
      <c r="A12" s="2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21" s="1" customFormat="1">
      <c r="A13" s="20" t="s">
        <v>87</v>
      </c>
      <c r="B13" s="56" t="str">
        <f>IF(B7&lt;=3600000,"43,40%","30,50%")</f>
        <v>43,40%</v>
      </c>
      <c r="C13" s="56" t="str">
        <f t="shared" ref="C13:M13" si="8">IF(C7&lt;=3600000,"43,40%","30,50%")</f>
        <v>43,40%</v>
      </c>
      <c r="D13" s="56" t="str">
        <f t="shared" si="8"/>
        <v>43,40%</v>
      </c>
      <c r="E13" s="56" t="str">
        <f t="shared" si="8"/>
        <v>43,40%</v>
      </c>
      <c r="F13" s="56" t="str">
        <f t="shared" si="8"/>
        <v>43,40%</v>
      </c>
      <c r="G13" s="56" t="str">
        <f t="shared" si="8"/>
        <v>43,40%</v>
      </c>
      <c r="H13" s="56" t="str">
        <f t="shared" si="8"/>
        <v>43,40%</v>
      </c>
      <c r="I13" s="56" t="str">
        <f t="shared" si="8"/>
        <v>43,40%</v>
      </c>
      <c r="J13" s="56" t="str">
        <f t="shared" si="8"/>
        <v>43,40%</v>
      </c>
      <c r="K13" s="56" t="str">
        <f t="shared" si="8"/>
        <v>43,40%</v>
      </c>
      <c r="L13" s="56" t="str">
        <f t="shared" si="8"/>
        <v>43,40%</v>
      </c>
      <c r="M13" s="56" t="str">
        <f t="shared" si="8"/>
        <v>43,40%</v>
      </c>
      <c r="N13"/>
      <c r="O13"/>
    </row>
    <row r="14" spans="1:21" s="1" customFormat="1">
      <c r="A14" s="20" t="s">
        <v>86</v>
      </c>
      <c r="B14" s="11">
        <f>B11*B13</f>
        <v>312.48</v>
      </c>
      <c r="C14" s="11">
        <f t="shared" ref="C14:M14" si="9">C11*C13</f>
        <v>312.48</v>
      </c>
      <c r="D14" s="11">
        <f t="shared" si="9"/>
        <v>312.48</v>
      </c>
      <c r="E14" s="11">
        <f t="shared" si="9"/>
        <v>312.48</v>
      </c>
      <c r="F14" s="11">
        <f t="shared" si="9"/>
        <v>312.48</v>
      </c>
      <c r="G14" s="11">
        <f t="shared" si="9"/>
        <v>312.48</v>
      </c>
      <c r="H14" s="11">
        <f t="shared" si="9"/>
        <v>312.48</v>
      </c>
      <c r="I14" s="11">
        <f t="shared" si="9"/>
        <v>312.48</v>
      </c>
      <c r="J14" s="11">
        <f t="shared" si="9"/>
        <v>312.48</v>
      </c>
      <c r="K14" s="11">
        <f t="shared" si="9"/>
        <v>312.48</v>
      </c>
      <c r="L14" s="11">
        <f t="shared" si="9"/>
        <v>312.48</v>
      </c>
      <c r="M14" s="11">
        <f t="shared" si="9"/>
        <v>312.48</v>
      </c>
      <c r="N14"/>
      <c r="O14" s="10">
        <f>SUM(B14:M14)</f>
        <v>3749.76</v>
      </c>
    </row>
    <row r="15" spans="1:21"/>
    <row r="18" spans="2:2" hidden="1">
      <c r="B18" s="52"/>
    </row>
  </sheetData>
  <mergeCells count="1">
    <mergeCell ref="A6:M6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19"/>
  <sheetViews>
    <sheetView showGridLines="0" zoomScale="70" zoomScaleNormal="70" workbookViewId="0">
      <selection activeCell="N17" sqref="N17:O17"/>
    </sheetView>
  </sheetViews>
  <sheetFormatPr defaultColWidth="0" defaultRowHeight="26.25"/>
  <cols>
    <col min="1" max="1" width="43.42578125" style="24" bestFit="1" customWidth="1"/>
    <col min="2" max="13" width="23.140625" customWidth="1"/>
    <col min="14" max="14" width="4.42578125" customWidth="1"/>
    <col min="15" max="15" width="24.5703125" bestFit="1" customWidth="1"/>
    <col min="16" max="16" width="7.7109375" customWidth="1"/>
    <col min="17" max="19" width="21.85546875" customWidth="1"/>
    <col min="20" max="20" width="46.42578125" customWidth="1"/>
    <col min="21" max="37" width="0" hidden="1" customWidth="1"/>
    <col min="38" max="16384" width="21.85546875" hidden="1"/>
  </cols>
  <sheetData>
    <row r="1" spans="1:22" s="17" customFormat="1" ht="27" thickBot="1">
      <c r="A1" s="18"/>
      <c r="B1" s="16" t="s">
        <v>25</v>
      </c>
      <c r="C1" s="16" t="s">
        <v>26</v>
      </c>
      <c r="D1" s="16" t="s">
        <v>27</v>
      </c>
      <c r="E1" s="16" t="s">
        <v>28</v>
      </c>
      <c r="F1" s="16" t="s">
        <v>29</v>
      </c>
      <c r="G1" s="16" t="s">
        <v>30</v>
      </c>
      <c r="H1" s="16" t="s">
        <v>31</v>
      </c>
      <c r="I1" s="16" t="s">
        <v>32</v>
      </c>
      <c r="J1" s="16" t="s">
        <v>33</v>
      </c>
      <c r="K1" s="16" t="s">
        <v>34</v>
      </c>
      <c r="L1" s="16" t="s">
        <v>35</v>
      </c>
      <c r="M1" s="16" t="s">
        <v>36</v>
      </c>
      <c r="O1" s="16" t="s">
        <v>37</v>
      </c>
      <c r="Q1" s="13" t="s">
        <v>39</v>
      </c>
    </row>
    <row r="2" spans="1:22" s="1" customFormat="1" thickBot="1">
      <c r="A2" s="19" t="s">
        <v>1</v>
      </c>
      <c r="B2" s="6">
        <f>CALCULADORA!C18</f>
        <v>0</v>
      </c>
      <c r="C2" s="6">
        <f>B2</f>
        <v>0</v>
      </c>
      <c r="D2" s="6">
        <f t="shared" ref="D2:M2" si="0">C2</f>
        <v>0</v>
      </c>
      <c r="E2" s="6">
        <f t="shared" si="0"/>
        <v>0</v>
      </c>
      <c r="F2" s="6">
        <f t="shared" si="0"/>
        <v>0</v>
      </c>
      <c r="G2" s="6">
        <f t="shared" si="0"/>
        <v>0</v>
      </c>
      <c r="H2" s="6">
        <f t="shared" si="0"/>
        <v>0</v>
      </c>
      <c r="I2" s="6">
        <f t="shared" si="0"/>
        <v>0</v>
      </c>
      <c r="J2" s="6">
        <f t="shared" si="0"/>
        <v>0</v>
      </c>
      <c r="K2" s="6">
        <f t="shared" si="0"/>
        <v>0</v>
      </c>
      <c r="L2" s="6">
        <f t="shared" si="0"/>
        <v>0</v>
      </c>
      <c r="M2" s="6">
        <f t="shared" si="0"/>
        <v>0</v>
      </c>
      <c r="O2" s="25">
        <f>SUM(B2:M2)</f>
        <v>0</v>
      </c>
      <c r="Q2" s="13" t="s">
        <v>8</v>
      </c>
      <c r="R2" s="13" t="s">
        <v>9</v>
      </c>
      <c r="S2" s="13" t="s">
        <v>10</v>
      </c>
      <c r="T2" s="13" t="s">
        <v>11</v>
      </c>
    </row>
    <row r="3" spans="1:22" s="1" customFormat="1" thickBot="1">
      <c r="A3" s="19" t="s">
        <v>2</v>
      </c>
      <c r="B3" s="7">
        <f>CALCULADORA!$C$19</f>
        <v>12000</v>
      </c>
      <c r="C3" s="7">
        <f>CALCULADORA!$C$19</f>
        <v>12000</v>
      </c>
      <c r="D3" s="7">
        <f>CALCULADORA!$C$19</f>
        <v>12000</v>
      </c>
      <c r="E3" s="7">
        <f>CALCULADORA!$C$19</f>
        <v>12000</v>
      </c>
      <c r="F3" s="7">
        <f>CALCULADORA!$C$19</f>
        <v>12000</v>
      </c>
      <c r="G3" s="7">
        <f>CALCULADORA!$C$19</f>
        <v>12000</v>
      </c>
      <c r="H3" s="7">
        <f>CALCULADORA!$C$19</f>
        <v>12000</v>
      </c>
      <c r="I3" s="7">
        <f>CALCULADORA!$C$19</f>
        <v>12000</v>
      </c>
      <c r="J3" s="7">
        <f>CALCULADORA!$C$19</f>
        <v>12000</v>
      </c>
      <c r="K3" s="7">
        <f>CALCULADORA!$C$19</f>
        <v>12000</v>
      </c>
      <c r="L3" s="7">
        <f>CALCULADORA!$C$19</f>
        <v>12000</v>
      </c>
      <c r="M3" s="7">
        <f>CALCULADORA!$C$19</f>
        <v>12000</v>
      </c>
      <c r="O3" s="25">
        <f>SUM(B3:M3)</f>
        <v>144000</v>
      </c>
      <c r="Q3" s="26" t="s">
        <v>12</v>
      </c>
      <c r="R3" s="27">
        <v>0.155</v>
      </c>
      <c r="S3" s="26" t="s">
        <v>13</v>
      </c>
      <c r="T3" s="26" t="s">
        <v>14</v>
      </c>
    </row>
    <row r="4" spans="1:22" s="1" customFormat="1" ht="27" thickBot="1">
      <c r="A4" s="20" t="s">
        <v>0</v>
      </c>
      <c r="B4" s="10">
        <f t="shared" ref="B4:M4" si="1">SUM(B2:B3)</f>
        <v>12000</v>
      </c>
      <c r="C4" s="10">
        <f t="shared" si="1"/>
        <v>12000</v>
      </c>
      <c r="D4" s="10">
        <f t="shared" si="1"/>
        <v>12000</v>
      </c>
      <c r="E4" s="10">
        <f t="shared" si="1"/>
        <v>12000</v>
      </c>
      <c r="F4" s="10">
        <f t="shared" si="1"/>
        <v>12000</v>
      </c>
      <c r="G4" s="10">
        <f t="shared" si="1"/>
        <v>12000</v>
      </c>
      <c r="H4" s="10">
        <f t="shared" si="1"/>
        <v>12000</v>
      </c>
      <c r="I4" s="10">
        <f t="shared" si="1"/>
        <v>12000</v>
      </c>
      <c r="J4" s="10">
        <f t="shared" si="1"/>
        <v>12000</v>
      </c>
      <c r="K4" s="10">
        <f t="shared" si="1"/>
        <v>12000</v>
      </c>
      <c r="L4" s="10">
        <f t="shared" si="1"/>
        <v>12000</v>
      </c>
      <c r="M4" s="10">
        <f t="shared" si="1"/>
        <v>12000</v>
      </c>
      <c r="O4" s="10">
        <f>SUM(B4:M4)</f>
        <v>144000</v>
      </c>
      <c r="Q4" s="28" t="s">
        <v>15</v>
      </c>
      <c r="R4" s="29">
        <v>0.18</v>
      </c>
      <c r="S4" s="30">
        <v>4500</v>
      </c>
      <c r="T4" s="28" t="s">
        <v>16</v>
      </c>
    </row>
    <row r="5" spans="1:22" s="2" customFormat="1" ht="27" thickBot="1">
      <c r="A5" s="2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6" t="s">
        <v>17</v>
      </c>
      <c r="R5" s="27">
        <v>0.19500000000000001</v>
      </c>
      <c r="S5" s="31">
        <v>9900</v>
      </c>
      <c r="T5" s="26" t="s">
        <v>18</v>
      </c>
      <c r="U5" s="1"/>
      <c r="V5" s="1"/>
    </row>
    <row r="6" spans="1:22" s="2" customFormat="1" ht="30.75" thickBot="1">
      <c r="A6" s="241"/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Q6" s="28" t="s">
        <v>19</v>
      </c>
      <c r="R6" s="29">
        <v>0.20499999999999999</v>
      </c>
      <c r="S6" s="30">
        <v>17100</v>
      </c>
      <c r="T6" s="28" t="s">
        <v>20</v>
      </c>
      <c r="U6" s="1"/>
      <c r="V6" s="1"/>
    </row>
    <row r="7" spans="1:22" s="1" customFormat="1" thickBot="1">
      <c r="A7" s="22" t="s">
        <v>5</v>
      </c>
      <c r="B7" s="9">
        <f>SUM(B4)*12</f>
        <v>144000</v>
      </c>
      <c r="C7" s="9">
        <f t="shared" ref="C7:M7" si="2">SUM(C4)*12</f>
        <v>144000</v>
      </c>
      <c r="D7" s="9">
        <f t="shared" si="2"/>
        <v>144000</v>
      </c>
      <c r="E7" s="9">
        <f t="shared" si="2"/>
        <v>144000</v>
      </c>
      <c r="F7" s="9">
        <f t="shared" si="2"/>
        <v>144000</v>
      </c>
      <c r="G7" s="9">
        <f t="shared" si="2"/>
        <v>144000</v>
      </c>
      <c r="H7" s="9">
        <f t="shared" si="2"/>
        <v>144000</v>
      </c>
      <c r="I7" s="9">
        <f t="shared" si="2"/>
        <v>144000</v>
      </c>
      <c r="J7" s="9">
        <f t="shared" si="2"/>
        <v>144000</v>
      </c>
      <c r="K7" s="9">
        <f t="shared" si="2"/>
        <v>144000</v>
      </c>
      <c r="L7" s="9">
        <f t="shared" si="2"/>
        <v>144000</v>
      </c>
      <c r="M7" s="9">
        <f t="shared" si="2"/>
        <v>144000</v>
      </c>
      <c r="Q7" s="26" t="s">
        <v>21</v>
      </c>
      <c r="R7" s="27">
        <v>0.23</v>
      </c>
      <c r="S7" s="31">
        <v>62100</v>
      </c>
      <c r="T7" s="26" t="s">
        <v>22</v>
      </c>
    </row>
    <row r="8" spans="1:22" s="1" customFormat="1" thickBot="1">
      <c r="A8" s="22" t="s">
        <v>3</v>
      </c>
      <c r="B8" s="14" t="str">
        <f>IF(B7&lt;=180000,"15,5%",IF(AND(B7&gt;180000,B7&lt;=360000),"18%",IF(AND(B7&gt;360000,B7&lt;=720000),"19,5%",IF(AND(B7&gt;720000,B7&lt;=1800000),"20,5%",IF(AND(B7&gt;1800000,B7&lt;=3600000),"23%",IF(AND(B7&gt;3600000,B7&lt;=4800000),"30,5%",0))))))</f>
        <v>15,5%</v>
      </c>
      <c r="C8" s="14" t="str">
        <f t="shared" ref="C8:M8" si="3">IF(C7&lt;=180000,"15,5%",IF(AND(C7&gt;180000,C7&lt;=360000),"18%",IF(AND(C7&gt;360000,C7&lt;=720000),"19,5%",IF(AND(C7&gt;720000,C7&lt;=1800000),"20,5%",IF(AND(C7&gt;1800000,C7&lt;=3600000),"23%",IF(AND(C7&gt;3600000,C7&lt;=4800000),"30,5%",0))))))</f>
        <v>15,5%</v>
      </c>
      <c r="D8" s="14" t="str">
        <f t="shared" si="3"/>
        <v>15,5%</v>
      </c>
      <c r="E8" s="14" t="str">
        <f t="shared" si="3"/>
        <v>15,5%</v>
      </c>
      <c r="F8" s="14" t="str">
        <f t="shared" si="3"/>
        <v>15,5%</v>
      </c>
      <c r="G8" s="14" t="str">
        <f t="shared" si="3"/>
        <v>15,5%</v>
      </c>
      <c r="H8" s="14" t="str">
        <f t="shared" si="3"/>
        <v>15,5%</v>
      </c>
      <c r="I8" s="14" t="str">
        <f t="shared" si="3"/>
        <v>15,5%</v>
      </c>
      <c r="J8" s="14" t="str">
        <f t="shared" si="3"/>
        <v>15,5%</v>
      </c>
      <c r="K8" s="14" t="str">
        <f t="shared" si="3"/>
        <v>15,5%</v>
      </c>
      <c r="L8" s="14" t="str">
        <f t="shared" si="3"/>
        <v>15,5%</v>
      </c>
      <c r="M8" s="14" t="str">
        <f t="shared" si="3"/>
        <v>15,5%</v>
      </c>
      <c r="Q8" s="28" t="s">
        <v>23</v>
      </c>
      <c r="R8" s="29">
        <v>0.30499999999999999</v>
      </c>
      <c r="S8" s="30">
        <v>540000</v>
      </c>
      <c r="T8" s="28" t="s">
        <v>24</v>
      </c>
    </row>
    <row r="9" spans="1:22" s="1" customFormat="1" ht="25.5">
      <c r="A9" s="22" t="s">
        <v>6</v>
      </c>
      <c r="B9" s="15" t="str">
        <f>IF(B7&lt;=180000,"0",IF(AND(B7&gt;180000,B7&lt;=360000),"4500",IF(AND(B7&gt;360000,B7&lt;=720000),"9900",IF(AND(B7&gt;720000,B7&lt;=1800000),"17100",IF(AND(B7&gt;1800000,B7&lt;=3600000),"62100",IF(AND(B7&gt;3600000,B7&lt;=4800000),"540000",0))))))</f>
        <v>0</v>
      </c>
      <c r="C9" s="15" t="str">
        <f t="shared" ref="C9:M9" si="4">IF(C7&lt;=180000,"0",IF(AND(C7&gt;180000,C7&lt;=360000),"4500",IF(AND(C7&gt;360000,C7&lt;=720000),"9900",IF(AND(C7&gt;720000,C7&lt;=1800000),"17100",IF(AND(C7&gt;1800000,C7&lt;=3600000),"62100",IF(AND(C7&gt;3600000,C7&lt;=4800000),"540000",0))))))</f>
        <v>0</v>
      </c>
      <c r="D9" s="15" t="str">
        <f t="shared" si="4"/>
        <v>0</v>
      </c>
      <c r="E9" s="15" t="str">
        <f t="shared" si="4"/>
        <v>0</v>
      </c>
      <c r="F9" s="15" t="str">
        <f t="shared" si="4"/>
        <v>0</v>
      </c>
      <c r="G9" s="15" t="str">
        <f t="shared" si="4"/>
        <v>0</v>
      </c>
      <c r="H9" s="15" t="str">
        <f t="shared" si="4"/>
        <v>0</v>
      </c>
      <c r="I9" s="15" t="str">
        <f t="shared" si="4"/>
        <v>0</v>
      </c>
      <c r="J9" s="15" t="str">
        <f t="shared" si="4"/>
        <v>0</v>
      </c>
      <c r="K9" s="15" t="str">
        <f t="shared" si="4"/>
        <v>0</v>
      </c>
      <c r="L9" s="15" t="str">
        <f t="shared" si="4"/>
        <v>0</v>
      </c>
      <c r="M9" s="15" t="str">
        <f t="shared" si="4"/>
        <v>0</v>
      </c>
    </row>
    <row r="10" spans="1:22" s="1" customFormat="1" ht="25.5">
      <c r="A10" s="22" t="s">
        <v>7</v>
      </c>
      <c r="B10" s="8">
        <f t="shared" ref="B10" si="5">(B7*B8-B9)/B7</f>
        <v>0.155</v>
      </c>
      <c r="C10" s="8">
        <f t="shared" ref="C10:M10" si="6">(C7*C8-C9)/C7</f>
        <v>0.155</v>
      </c>
      <c r="D10" s="8">
        <f t="shared" si="6"/>
        <v>0.155</v>
      </c>
      <c r="E10" s="8">
        <f t="shared" si="6"/>
        <v>0.155</v>
      </c>
      <c r="F10" s="8">
        <f t="shared" si="6"/>
        <v>0.155</v>
      </c>
      <c r="G10" s="8">
        <f t="shared" si="6"/>
        <v>0.155</v>
      </c>
      <c r="H10" s="8">
        <f t="shared" si="6"/>
        <v>0.155</v>
      </c>
      <c r="I10" s="8">
        <f t="shared" si="6"/>
        <v>0.155</v>
      </c>
      <c r="J10" s="8">
        <f t="shared" si="6"/>
        <v>0.155</v>
      </c>
      <c r="K10" s="8">
        <f t="shared" si="6"/>
        <v>0.155</v>
      </c>
      <c r="L10" s="8">
        <f t="shared" si="6"/>
        <v>0.155</v>
      </c>
      <c r="M10" s="8">
        <f t="shared" si="6"/>
        <v>0.155</v>
      </c>
    </row>
    <row r="11" spans="1:22" s="1" customFormat="1">
      <c r="A11" s="20" t="s">
        <v>4</v>
      </c>
      <c r="B11" s="11">
        <f>B4*B10</f>
        <v>1860</v>
      </c>
      <c r="C11" s="11">
        <f t="shared" ref="C11:M11" si="7">C4*C10</f>
        <v>1860</v>
      </c>
      <c r="D11" s="11">
        <f t="shared" si="7"/>
        <v>1860</v>
      </c>
      <c r="E11" s="11">
        <f t="shared" si="7"/>
        <v>1860</v>
      </c>
      <c r="F11" s="11">
        <f t="shared" si="7"/>
        <v>1860</v>
      </c>
      <c r="G11" s="11">
        <f t="shared" si="7"/>
        <v>1860</v>
      </c>
      <c r="H11" s="11">
        <f t="shared" si="7"/>
        <v>1860</v>
      </c>
      <c r="I11" s="11">
        <f t="shared" si="7"/>
        <v>1860</v>
      </c>
      <c r="J11" s="11">
        <f t="shared" si="7"/>
        <v>1860</v>
      </c>
      <c r="K11" s="11">
        <f t="shared" si="7"/>
        <v>1860</v>
      </c>
      <c r="L11" s="11">
        <f t="shared" si="7"/>
        <v>1860</v>
      </c>
      <c r="M11" s="11">
        <f t="shared" si="7"/>
        <v>1860</v>
      </c>
      <c r="O11" s="10">
        <f>SUM(B11:M11)</f>
        <v>22320</v>
      </c>
      <c r="Q11" s="2"/>
      <c r="R11" s="2"/>
      <c r="S11" s="2"/>
      <c r="T11" s="2"/>
      <c r="U11" s="2"/>
      <c r="V11" s="2"/>
    </row>
    <row r="12" spans="1:22" s="1" customFormat="1" ht="25.5">
      <c r="A12" s="2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22" s="1" customFormat="1">
      <c r="A13" s="24"/>
      <c r="B13"/>
      <c r="C13"/>
      <c r="D13"/>
      <c r="E13"/>
      <c r="F13"/>
      <c r="G13"/>
      <c r="H13"/>
      <c r="I13"/>
      <c r="J13"/>
      <c r="K13"/>
      <c r="L13"/>
      <c r="M13"/>
      <c r="N13"/>
      <c r="O13"/>
    </row>
    <row r="14" spans="1:22" s="1" customFormat="1">
      <c r="A14" s="24"/>
      <c r="B14"/>
      <c r="C14"/>
      <c r="D14"/>
      <c r="E14"/>
      <c r="F14"/>
      <c r="G14"/>
      <c r="H14"/>
      <c r="I14"/>
      <c r="J14"/>
      <c r="K14"/>
      <c r="L14"/>
      <c r="M14"/>
      <c r="N14"/>
      <c r="O14"/>
    </row>
    <row r="15" spans="1:22" s="1" customFormat="1">
      <c r="A15" s="24"/>
      <c r="B15"/>
      <c r="C15"/>
      <c r="D15"/>
      <c r="E15"/>
      <c r="F15"/>
      <c r="G15"/>
      <c r="H15"/>
      <c r="I15"/>
      <c r="J15"/>
      <c r="K15"/>
      <c r="L15"/>
      <c r="M15"/>
      <c r="N15"/>
      <c r="O15"/>
    </row>
    <row r="16" spans="1:22" s="1" customFormat="1">
      <c r="A16" s="24"/>
      <c r="B16"/>
      <c r="C16"/>
      <c r="D16"/>
      <c r="E16"/>
      <c r="F16"/>
      <c r="G16"/>
      <c r="H16"/>
      <c r="I16"/>
      <c r="J16"/>
      <c r="K16"/>
      <c r="L16"/>
      <c r="M16"/>
      <c r="N16"/>
      <c r="O16"/>
    </row>
    <row r="17" spans="1:15" s="1" customFormat="1">
      <c r="A17" s="24"/>
      <c r="B17"/>
      <c r="C17"/>
      <c r="D17"/>
      <c r="E17"/>
      <c r="F17"/>
      <c r="G17"/>
      <c r="H17"/>
      <c r="I17"/>
      <c r="J17"/>
      <c r="K17"/>
      <c r="L17"/>
      <c r="M17"/>
      <c r="N17"/>
      <c r="O17"/>
    </row>
    <row r="18" spans="1:15" s="1" customFormat="1">
      <c r="A18" s="24"/>
      <c r="B18"/>
      <c r="C18"/>
      <c r="D18"/>
      <c r="E18"/>
      <c r="F18"/>
      <c r="G18"/>
      <c r="H18"/>
      <c r="I18"/>
      <c r="J18"/>
      <c r="K18"/>
      <c r="L18"/>
      <c r="M18"/>
      <c r="N18"/>
      <c r="O18"/>
    </row>
    <row r="19" spans="1:15" s="2" customFormat="1">
      <c r="A19" s="24"/>
      <c r="B19"/>
      <c r="C19"/>
      <c r="D19"/>
      <c r="E19"/>
      <c r="F19"/>
      <c r="G19"/>
      <c r="H19"/>
      <c r="I19"/>
      <c r="J19"/>
      <c r="K19"/>
      <c r="L19"/>
      <c r="M19"/>
      <c r="N19"/>
      <c r="O19"/>
    </row>
  </sheetData>
  <mergeCells count="1">
    <mergeCell ref="A6:M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2"/>
  <sheetViews>
    <sheetView showGridLines="0" workbookViewId="0">
      <selection activeCell="N17" sqref="N17:O17"/>
    </sheetView>
  </sheetViews>
  <sheetFormatPr defaultColWidth="0" defaultRowHeight="15"/>
  <cols>
    <col min="1" max="1" width="43.42578125" bestFit="1" customWidth="1"/>
    <col min="2" max="2" width="16" bestFit="1" customWidth="1"/>
    <col min="3" max="4" width="9.140625" customWidth="1"/>
    <col min="5" max="5" width="39" customWidth="1"/>
    <col min="6" max="12" width="9.140625" customWidth="1"/>
    <col min="13" max="16384" width="9.140625" hidden="1"/>
  </cols>
  <sheetData>
    <row r="1" spans="1:2" ht="25.5">
      <c r="A1" s="19" t="s">
        <v>0</v>
      </c>
      <c r="B1" s="7">
        <f>SUM(CALCULADORA!C18:C19)</f>
        <v>12000</v>
      </c>
    </row>
    <row r="2" spans="1:2" ht="26.25">
      <c r="A2" s="20" t="s">
        <v>0</v>
      </c>
      <c r="B2" s="10">
        <f>SUM(B1:B1)</f>
        <v>12000</v>
      </c>
    </row>
    <row r="4" spans="1:2" ht="25.5">
      <c r="A4" s="19" t="s">
        <v>74</v>
      </c>
      <c r="B4" s="7">
        <f>CALCULADORA!C27-CALCULADORA!G32</f>
        <v>-6286.7139999999999</v>
      </c>
    </row>
    <row r="5" spans="1:2" ht="26.25">
      <c r="A5" s="20" t="s">
        <v>74</v>
      </c>
      <c r="B5" s="10">
        <f>SUM(B4:B4)</f>
        <v>-6286.7139999999999</v>
      </c>
    </row>
    <row r="7" spans="1:2" ht="26.25">
      <c r="A7" s="20" t="s">
        <v>75</v>
      </c>
      <c r="B7" s="10">
        <f>B2+B5</f>
        <v>5713.2860000000001</v>
      </c>
    </row>
    <row r="10" spans="1:2" ht="25.5">
      <c r="A10" s="19" t="s">
        <v>3</v>
      </c>
      <c r="B10" s="54" t="str">
        <f>IF(B7&lt;=1903.98,"0",IF(AND(B7&gt;1903.99,B7&lt;=2826.65),"7,5%",IF(AND(B7&gt;2826.66,B7&lt;=3751.05),"15%",IF(AND(B7&gt;3751.06,B7&lt;=4664.68),"22,5%",IF(AND(B7&gt;4664.69),"27,5%",0)))))</f>
        <v>27,5%</v>
      </c>
    </row>
    <row r="11" spans="1:2" ht="25.5">
      <c r="A11" s="19" t="s">
        <v>6</v>
      </c>
      <c r="B11" s="55" t="str">
        <f>IF(B7&lt;=1903.98,"0",IF(AND(B7&gt;1903.99,B7&lt;=2826.65),"-142,80",IF(AND(B7&gt;2826.66,B7&lt;=3751.05),"-354,80",IF(AND(B7&gt;3751.06,B7&lt;=4664.68),"-636,13",IF(AND(B7&gt;4664.69),"-869,36",0)))))</f>
        <v>-869,36</v>
      </c>
    </row>
    <row r="12" spans="1:2" ht="26.25">
      <c r="A12" s="20"/>
      <c r="B12" s="10">
        <f>(B7*B10)+B11</f>
        <v>701.79365000000018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2"/>
  <sheetViews>
    <sheetView showGridLines="0" zoomScale="85" zoomScaleNormal="85" workbookViewId="0">
      <selection activeCell="N17" sqref="N17:O17"/>
    </sheetView>
  </sheetViews>
  <sheetFormatPr defaultRowHeight="14.25"/>
  <cols>
    <col min="1" max="1" width="19.5703125" style="1" bestFit="1" customWidth="1"/>
    <col min="2" max="13" width="16" style="40" bestFit="1" customWidth="1"/>
    <col min="14" max="14" width="3.7109375" style="3" customWidth="1"/>
    <col min="15" max="15" width="18.5703125" style="1" bestFit="1" customWidth="1"/>
    <col min="16" max="16" width="9.5703125" style="1" bestFit="1" customWidth="1"/>
    <col min="17" max="16384" width="9.140625" style="1"/>
  </cols>
  <sheetData>
    <row r="1" spans="1:15" ht="15">
      <c r="A1" s="32"/>
      <c r="B1" s="33" t="s">
        <v>25</v>
      </c>
      <c r="C1" s="33" t="s">
        <v>26</v>
      </c>
      <c r="D1" s="33" t="s">
        <v>27</v>
      </c>
      <c r="E1" s="33" t="s">
        <v>28</v>
      </c>
      <c r="F1" s="33" t="s">
        <v>29</v>
      </c>
      <c r="G1" s="33" t="s">
        <v>30</v>
      </c>
      <c r="H1" s="33" t="s">
        <v>31</v>
      </c>
      <c r="I1" s="33" t="s">
        <v>32</v>
      </c>
      <c r="J1" s="33" t="s">
        <v>33</v>
      </c>
      <c r="K1" s="33" t="s">
        <v>34</v>
      </c>
      <c r="L1" s="33" t="s">
        <v>35</v>
      </c>
      <c r="M1" s="33" t="s">
        <v>36</v>
      </c>
      <c r="N1" s="41"/>
      <c r="O1" s="33" t="s">
        <v>37</v>
      </c>
    </row>
    <row r="2" spans="1:15">
      <c r="A2" s="34" t="s">
        <v>1</v>
      </c>
      <c r="B2" s="34">
        <f>CALCULADORA!C18</f>
        <v>0</v>
      </c>
      <c r="C2" s="34">
        <f>B2</f>
        <v>0</v>
      </c>
      <c r="D2" s="34">
        <f t="shared" ref="D2:M2" si="0">C2</f>
        <v>0</v>
      </c>
      <c r="E2" s="34">
        <f t="shared" si="0"/>
        <v>0</v>
      </c>
      <c r="F2" s="34">
        <f t="shared" si="0"/>
        <v>0</v>
      </c>
      <c r="G2" s="34">
        <f t="shared" si="0"/>
        <v>0</v>
      </c>
      <c r="H2" s="34">
        <f t="shared" si="0"/>
        <v>0</v>
      </c>
      <c r="I2" s="34">
        <f t="shared" si="0"/>
        <v>0</v>
      </c>
      <c r="J2" s="34">
        <f t="shared" si="0"/>
        <v>0</v>
      </c>
      <c r="K2" s="34">
        <f t="shared" si="0"/>
        <v>0</v>
      </c>
      <c r="L2" s="34">
        <f t="shared" si="0"/>
        <v>0</v>
      </c>
      <c r="M2" s="34">
        <f t="shared" si="0"/>
        <v>0</v>
      </c>
      <c r="N2" s="42"/>
      <c r="O2" s="4"/>
    </row>
    <row r="3" spans="1:15">
      <c r="A3" s="34" t="s">
        <v>2</v>
      </c>
      <c r="B3" s="34">
        <f>CALCULADORA!$C$19</f>
        <v>12000</v>
      </c>
      <c r="C3" s="34">
        <f>CALCULADORA!$C$19</f>
        <v>12000</v>
      </c>
      <c r="D3" s="34">
        <f>CALCULADORA!$C$19</f>
        <v>12000</v>
      </c>
      <c r="E3" s="34">
        <f>CALCULADORA!$C$19</f>
        <v>12000</v>
      </c>
      <c r="F3" s="34">
        <f>CALCULADORA!$C$19</f>
        <v>12000</v>
      </c>
      <c r="G3" s="34">
        <f>CALCULADORA!$C$19</f>
        <v>12000</v>
      </c>
      <c r="H3" s="34">
        <f>CALCULADORA!$C$19</f>
        <v>12000</v>
      </c>
      <c r="I3" s="34">
        <f>CALCULADORA!$C$19</f>
        <v>12000</v>
      </c>
      <c r="J3" s="34">
        <f>CALCULADORA!$C$19</f>
        <v>12000</v>
      </c>
      <c r="K3" s="34">
        <f>CALCULADORA!$C$19</f>
        <v>12000</v>
      </c>
      <c r="L3" s="34">
        <f>CALCULADORA!$C$19</f>
        <v>12000</v>
      </c>
      <c r="M3" s="34">
        <f>CALCULADORA!$C$19</f>
        <v>12000</v>
      </c>
      <c r="N3" s="42"/>
      <c r="O3" s="4">
        <f>SUM(B3:M3)</f>
        <v>144000</v>
      </c>
    </row>
    <row r="4" spans="1:15" ht="15">
      <c r="A4" s="35" t="s">
        <v>0</v>
      </c>
      <c r="B4" s="36">
        <f>SUM(B2:B3)</f>
        <v>12000</v>
      </c>
      <c r="C4" s="36">
        <f t="shared" ref="C4:M4" si="1">SUM(C2:C3)</f>
        <v>12000</v>
      </c>
      <c r="D4" s="36">
        <f t="shared" si="1"/>
        <v>12000</v>
      </c>
      <c r="E4" s="36">
        <f t="shared" si="1"/>
        <v>12000</v>
      </c>
      <c r="F4" s="36">
        <f t="shared" si="1"/>
        <v>12000</v>
      </c>
      <c r="G4" s="36">
        <f t="shared" si="1"/>
        <v>12000</v>
      </c>
      <c r="H4" s="36">
        <f t="shared" si="1"/>
        <v>12000</v>
      </c>
      <c r="I4" s="36">
        <f t="shared" si="1"/>
        <v>12000</v>
      </c>
      <c r="J4" s="36">
        <f t="shared" si="1"/>
        <v>12000</v>
      </c>
      <c r="K4" s="36">
        <f t="shared" si="1"/>
        <v>12000</v>
      </c>
      <c r="L4" s="36">
        <f t="shared" si="1"/>
        <v>12000</v>
      </c>
      <c r="M4" s="36">
        <f t="shared" si="1"/>
        <v>12000</v>
      </c>
      <c r="N4" s="43"/>
      <c r="O4" s="44">
        <f>O3</f>
        <v>144000</v>
      </c>
    </row>
    <row r="5" spans="1:15" s="2" customFormat="1" ht="15">
      <c r="A5" s="3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12"/>
      <c r="O5" s="45"/>
    </row>
    <row r="6" spans="1:15">
      <c r="A6" s="38" t="s">
        <v>40</v>
      </c>
      <c r="B6" s="34">
        <f>B4*0.65%</f>
        <v>78</v>
      </c>
      <c r="C6" s="34">
        <f t="shared" ref="C6:M6" si="2">C4*0.65%</f>
        <v>78</v>
      </c>
      <c r="D6" s="34">
        <f t="shared" si="2"/>
        <v>78</v>
      </c>
      <c r="E6" s="34">
        <f t="shared" si="2"/>
        <v>78</v>
      </c>
      <c r="F6" s="34">
        <f t="shared" si="2"/>
        <v>78</v>
      </c>
      <c r="G6" s="34">
        <f t="shared" si="2"/>
        <v>78</v>
      </c>
      <c r="H6" s="34">
        <f t="shared" si="2"/>
        <v>78</v>
      </c>
      <c r="I6" s="34">
        <f t="shared" si="2"/>
        <v>78</v>
      </c>
      <c r="J6" s="34">
        <f t="shared" si="2"/>
        <v>78</v>
      </c>
      <c r="K6" s="34">
        <f t="shared" si="2"/>
        <v>78</v>
      </c>
      <c r="L6" s="34">
        <f t="shared" si="2"/>
        <v>78</v>
      </c>
      <c r="M6" s="34">
        <f t="shared" si="2"/>
        <v>78</v>
      </c>
      <c r="N6" s="42"/>
      <c r="O6" s="4">
        <f>SUM(B6:M6)</f>
        <v>936</v>
      </c>
    </row>
    <row r="7" spans="1:15">
      <c r="A7" s="38" t="s">
        <v>41</v>
      </c>
      <c r="B7" s="34">
        <f>B4*3%</f>
        <v>360</v>
      </c>
      <c r="C7" s="34">
        <f t="shared" ref="C7:M7" si="3">C4*3%</f>
        <v>360</v>
      </c>
      <c r="D7" s="34">
        <f t="shared" si="3"/>
        <v>360</v>
      </c>
      <c r="E7" s="34">
        <f t="shared" si="3"/>
        <v>360</v>
      </c>
      <c r="F7" s="34">
        <f t="shared" si="3"/>
        <v>360</v>
      </c>
      <c r="G7" s="34">
        <f t="shared" si="3"/>
        <v>360</v>
      </c>
      <c r="H7" s="34">
        <f t="shared" si="3"/>
        <v>360</v>
      </c>
      <c r="I7" s="34">
        <f t="shared" si="3"/>
        <v>360</v>
      </c>
      <c r="J7" s="34">
        <f t="shared" si="3"/>
        <v>360</v>
      </c>
      <c r="K7" s="34">
        <f t="shared" si="3"/>
        <v>360</v>
      </c>
      <c r="L7" s="34">
        <f t="shared" si="3"/>
        <v>360</v>
      </c>
      <c r="M7" s="34">
        <f t="shared" si="3"/>
        <v>360</v>
      </c>
      <c r="N7" s="42"/>
      <c r="O7" s="4">
        <f t="shared" ref="O7:O11" si="4">SUM(B7:M7)</f>
        <v>4320</v>
      </c>
    </row>
    <row r="8" spans="1:15">
      <c r="A8" s="38" t="s">
        <v>42</v>
      </c>
      <c r="B8" s="34">
        <f>B4*CALCULADORA!$C$22</f>
        <v>600</v>
      </c>
      <c r="C8" s="34">
        <f>C4*CALCULADORA!$C$22</f>
        <v>600</v>
      </c>
      <c r="D8" s="34">
        <f>D4*CALCULADORA!$C$22</f>
        <v>600</v>
      </c>
      <c r="E8" s="34">
        <f>E4*CALCULADORA!$C$22</f>
        <v>600</v>
      </c>
      <c r="F8" s="34">
        <f>F4*CALCULADORA!$C$22</f>
        <v>600</v>
      </c>
      <c r="G8" s="34">
        <f>G4*CALCULADORA!$C$22</f>
        <v>600</v>
      </c>
      <c r="H8" s="34">
        <f>H4*CALCULADORA!$C$22</f>
        <v>600</v>
      </c>
      <c r="I8" s="34">
        <f>I4*CALCULADORA!$C$22</f>
        <v>600</v>
      </c>
      <c r="J8" s="34">
        <f>J4*CALCULADORA!$C$22</f>
        <v>600</v>
      </c>
      <c r="K8" s="34">
        <f>K4*CALCULADORA!$C$22</f>
        <v>600</v>
      </c>
      <c r="L8" s="34">
        <f>L4*CALCULADORA!$C$22</f>
        <v>600</v>
      </c>
      <c r="M8" s="34">
        <f>M4*CALCULADORA!$C$22</f>
        <v>600</v>
      </c>
      <c r="N8" s="42"/>
      <c r="O8" s="4">
        <f t="shared" si="4"/>
        <v>7200</v>
      </c>
    </row>
    <row r="9" spans="1:15">
      <c r="A9" s="38" t="s">
        <v>43</v>
      </c>
      <c r="B9" s="34">
        <f>B4*CALCULADORA!$C$20*15%</f>
        <v>576</v>
      </c>
      <c r="C9" s="34">
        <f>C4*CALCULADORA!$C$20*15%</f>
        <v>576</v>
      </c>
      <c r="D9" s="34">
        <f>D4*CALCULADORA!$C$20*15%</f>
        <v>576</v>
      </c>
      <c r="E9" s="34">
        <f>E4*CALCULADORA!$C$20*15%</f>
        <v>576</v>
      </c>
      <c r="F9" s="34">
        <f>F4*CALCULADORA!$C$20*15%</f>
        <v>576</v>
      </c>
      <c r="G9" s="34">
        <f>G4*CALCULADORA!$C$20*15%</f>
        <v>576</v>
      </c>
      <c r="H9" s="34">
        <f>H4*CALCULADORA!$C$20*15%</f>
        <v>576</v>
      </c>
      <c r="I9" s="34">
        <f>I4*CALCULADORA!$C$20*15%</f>
        <v>576</v>
      </c>
      <c r="J9" s="34">
        <f>J4*CALCULADORA!$C$20*15%</f>
        <v>576</v>
      </c>
      <c r="K9" s="34">
        <f>K4*CALCULADORA!$C$20*15%</f>
        <v>576</v>
      </c>
      <c r="L9" s="34">
        <f>L4*CALCULADORA!$C$20*15%</f>
        <v>576</v>
      </c>
      <c r="M9" s="34">
        <f>M4*CALCULADORA!$C$20*15%</f>
        <v>576</v>
      </c>
      <c r="N9" s="42"/>
      <c r="O9" s="4">
        <f t="shared" si="4"/>
        <v>6912</v>
      </c>
    </row>
    <row r="10" spans="1:15">
      <c r="A10" s="38" t="s">
        <v>45</v>
      </c>
      <c r="B10" s="34">
        <f>IF((B4*CALCULADORA!$C$20)&gt;20000,((('Lucro Presumido'!B4*CALCULADORA!$C$20)-20000)*10%),0)</f>
        <v>0</v>
      </c>
      <c r="C10" s="34">
        <f>IF((C4*CALCULADORA!$C$20)&gt;20000,((('Lucro Presumido'!C4*CALCULADORA!$C$20)-20000)*10%),0)</f>
        <v>0</v>
      </c>
      <c r="D10" s="34">
        <f>IF((D4*CALCULADORA!$C$20)&gt;20000,((('Lucro Presumido'!D4*CALCULADORA!$C$20)-20000)*10%),0)</f>
        <v>0</v>
      </c>
      <c r="E10" s="34">
        <f>IF((E4*CALCULADORA!$C$20)&gt;20000,((('Lucro Presumido'!E4*CALCULADORA!$C$20)-20000)*10%),0)</f>
        <v>0</v>
      </c>
      <c r="F10" s="34">
        <f>IF((F4*CALCULADORA!$C$20)&gt;20000,((('Lucro Presumido'!F4*CALCULADORA!$C$20)-20000)*10%),0)</f>
        <v>0</v>
      </c>
      <c r="G10" s="34">
        <f>IF((G4*CALCULADORA!$C$20)&gt;20000,((('Lucro Presumido'!G4*CALCULADORA!$C$20)-20000)*10%),0)</f>
        <v>0</v>
      </c>
      <c r="H10" s="34">
        <f>IF((H4*CALCULADORA!$C$20)&gt;20000,((('Lucro Presumido'!H4*CALCULADORA!$C$20)-20000)*10%),0)</f>
        <v>0</v>
      </c>
      <c r="I10" s="34">
        <f>IF((I4*CALCULADORA!$C$20)&gt;20000,((('Lucro Presumido'!I4*CALCULADORA!$C$20)-20000)*10%),0)</f>
        <v>0</v>
      </c>
      <c r="J10" s="34">
        <f>IF((J4*CALCULADORA!$C$20)&gt;20000,((('Lucro Presumido'!J4*CALCULADORA!$C$20)-20000)*10%),0)</f>
        <v>0</v>
      </c>
      <c r="K10" s="34">
        <f>IF((K4*CALCULADORA!$C$20)&gt;20000,((('Lucro Presumido'!K4*CALCULADORA!$C$20)-20000)*10%),0)</f>
        <v>0</v>
      </c>
      <c r="L10" s="34">
        <f>IF((L4*CALCULADORA!$C$20)&gt;20000,((('Lucro Presumido'!L4*CALCULADORA!$C$20)-20000)*10%),0)</f>
        <v>0</v>
      </c>
      <c r="M10" s="34">
        <f>IF((M4*CALCULADORA!$C$20)&gt;20000,((('Lucro Presumido'!M4*CALCULADORA!$C$20)-20000)*10%),0)</f>
        <v>0</v>
      </c>
      <c r="N10" s="42"/>
      <c r="O10" s="4">
        <f t="shared" si="4"/>
        <v>0</v>
      </c>
    </row>
    <row r="11" spans="1:15">
      <c r="A11" s="38" t="s">
        <v>46</v>
      </c>
      <c r="B11" s="34">
        <f>B4*CALCULADORA!$C$21*9%</f>
        <v>345.59999999999997</v>
      </c>
      <c r="C11" s="34">
        <f>C4*CALCULADORA!$C$21*9%</f>
        <v>345.59999999999997</v>
      </c>
      <c r="D11" s="34">
        <f>D4*CALCULADORA!$C$21*9%</f>
        <v>345.59999999999997</v>
      </c>
      <c r="E11" s="34">
        <f>E4*CALCULADORA!$C$21*9%</f>
        <v>345.59999999999997</v>
      </c>
      <c r="F11" s="34">
        <f>F4*CALCULADORA!$C$21*9%</f>
        <v>345.59999999999997</v>
      </c>
      <c r="G11" s="34">
        <f>G4*CALCULADORA!$C$21*9%</f>
        <v>345.59999999999997</v>
      </c>
      <c r="H11" s="34">
        <f>H4*CALCULADORA!$C$21*9%</f>
        <v>345.59999999999997</v>
      </c>
      <c r="I11" s="34">
        <f>I4*CALCULADORA!$C$21*9%</f>
        <v>345.59999999999997</v>
      </c>
      <c r="J11" s="34">
        <f>J4*CALCULADORA!$C$21*9%</f>
        <v>345.59999999999997</v>
      </c>
      <c r="K11" s="34">
        <f>K4*CALCULADORA!$C$21*9%</f>
        <v>345.59999999999997</v>
      </c>
      <c r="L11" s="34">
        <f>L4*CALCULADORA!$C$21*9%</f>
        <v>345.59999999999997</v>
      </c>
      <c r="M11" s="34">
        <f>M4*CALCULADORA!$C$21*9%</f>
        <v>345.59999999999997</v>
      </c>
      <c r="N11" s="42"/>
      <c r="O11" s="4">
        <f t="shared" si="4"/>
        <v>4147.2</v>
      </c>
    </row>
    <row r="12" spans="1:15" s="39" customFormat="1" ht="15">
      <c r="A12" s="35" t="s">
        <v>47</v>
      </c>
      <c r="B12" s="36">
        <f t="shared" ref="B12" si="5">SUM(B6:B11)</f>
        <v>1959.6</v>
      </c>
      <c r="C12" s="36">
        <f t="shared" ref="C12:M12" si="6">SUM(C6:C11)</f>
        <v>1959.6</v>
      </c>
      <c r="D12" s="36">
        <f t="shared" si="6"/>
        <v>1959.6</v>
      </c>
      <c r="E12" s="36">
        <f t="shared" si="6"/>
        <v>1959.6</v>
      </c>
      <c r="F12" s="36">
        <f t="shared" si="6"/>
        <v>1959.6</v>
      </c>
      <c r="G12" s="36">
        <f t="shared" si="6"/>
        <v>1959.6</v>
      </c>
      <c r="H12" s="36">
        <f t="shared" si="6"/>
        <v>1959.6</v>
      </c>
      <c r="I12" s="36">
        <f t="shared" si="6"/>
        <v>1959.6</v>
      </c>
      <c r="J12" s="36">
        <f t="shared" si="6"/>
        <v>1959.6</v>
      </c>
      <c r="K12" s="36">
        <f t="shared" si="6"/>
        <v>1959.6</v>
      </c>
      <c r="L12" s="36">
        <f t="shared" si="6"/>
        <v>1959.6</v>
      </c>
      <c r="M12" s="36">
        <f t="shared" si="6"/>
        <v>1959.6</v>
      </c>
      <c r="N12" s="43"/>
      <c r="O12" s="46">
        <f>SUM(B12:M12)</f>
        <v>23515.199999999997</v>
      </c>
    </row>
  </sheetData>
  <phoneticPr fontId="13" type="noConversion"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16"/>
  <sheetViews>
    <sheetView showGridLines="0" workbookViewId="0">
      <selection activeCell="N17" sqref="N17:O17"/>
    </sheetView>
  </sheetViews>
  <sheetFormatPr defaultColWidth="0" defaultRowHeight="15"/>
  <cols>
    <col min="1" max="1" width="9.140625" customWidth="1"/>
    <col min="2" max="2" width="38.85546875" style="48" bestFit="1" customWidth="1"/>
    <col min="3" max="3" width="16" style="47" bestFit="1" customWidth="1"/>
    <col min="4" max="4" width="9.140625" customWidth="1"/>
    <col min="5" max="16384" width="9.140625" hidden="1"/>
  </cols>
  <sheetData>
    <row r="2" spans="2:3" ht="18.75">
      <c r="B2" s="49" t="s">
        <v>50</v>
      </c>
      <c r="C2" s="50">
        <f>'ANEXO 3'!O11</f>
        <v>8640</v>
      </c>
    </row>
    <row r="3" spans="2:3" ht="18.75">
      <c r="B3" s="49" t="s">
        <v>51</v>
      </c>
      <c r="C3" s="50">
        <f>'ANEXO 5'!O11</f>
        <v>22320</v>
      </c>
    </row>
    <row r="4" spans="2:3">
      <c r="B4" s="48">
        <v>0</v>
      </c>
      <c r="C4" s="47">
        <v>0</v>
      </c>
    </row>
    <row r="6" spans="2:3">
      <c r="B6" s="51" t="s">
        <v>40</v>
      </c>
      <c r="C6" s="47">
        <f>'Lucro Presumido'!O6</f>
        <v>936</v>
      </c>
    </row>
    <row r="7" spans="2:3">
      <c r="B7" s="51" t="s">
        <v>41</v>
      </c>
      <c r="C7" s="47">
        <f>'Lucro Presumido'!O7</f>
        <v>4320</v>
      </c>
    </row>
    <row r="8" spans="2:3">
      <c r="B8" s="51" t="s">
        <v>42</v>
      </c>
      <c r="C8" s="47">
        <f>'Lucro Presumido'!O8</f>
        <v>7200</v>
      </c>
    </row>
    <row r="9" spans="2:3">
      <c r="B9" s="51" t="s">
        <v>43</v>
      </c>
      <c r="C9" s="47">
        <f>'Lucro Presumido'!O9</f>
        <v>6912</v>
      </c>
    </row>
    <row r="10" spans="2:3">
      <c r="B10" s="51" t="s">
        <v>45</v>
      </c>
      <c r="C10" s="47">
        <f>'Lucro Presumido'!O10</f>
        <v>0</v>
      </c>
    </row>
    <row r="11" spans="2:3">
      <c r="B11" s="51" t="s">
        <v>46</v>
      </c>
      <c r="C11" s="47">
        <f>'Lucro Presumido'!O11</f>
        <v>4147.2</v>
      </c>
    </row>
    <row r="12" spans="2:3" ht="18.75">
      <c r="B12" s="49" t="s">
        <v>53</v>
      </c>
      <c r="C12" s="50">
        <f>'Lucro Presumido'!O12</f>
        <v>23515.199999999997</v>
      </c>
    </row>
    <row r="16" spans="2:3" ht="18.75">
      <c r="B16" s="49" t="s">
        <v>76</v>
      </c>
      <c r="C16" s="50">
        <f>'Carnê Leão'!B12</f>
        <v>701.79365000000018</v>
      </c>
    </row>
  </sheetData>
  <phoneticPr fontId="13" type="noConversion"/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S61"/>
  <sheetViews>
    <sheetView showGridLines="0" tabSelected="1" topLeftCell="F1" zoomScale="65" zoomScaleNormal="65" workbookViewId="0">
      <selection activeCell="C19" sqref="C19"/>
    </sheetView>
  </sheetViews>
  <sheetFormatPr defaultColWidth="9.140625" defaultRowHeight="0" customHeight="1" zeroHeight="1"/>
  <cols>
    <col min="1" max="1" width="6.42578125" style="57" customWidth="1"/>
    <col min="2" max="2" width="28.7109375" style="57" customWidth="1"/>
    <col min="3" max="3" width="22" style="57" customWidth="1"/>
    <col min="4" max="4" width="6" style="57" customWidth="1"/>
    <col min="5" max="5" width="6.42578125" style="57" customWidth="1"/>
    <col min="6" max="6" width="21.5703125" style="57" bestFit="1" customWidth="1" collapsed="1"/>
    <col min="7" max="7" width="20.85546875" style="57" customWidth="1"/>
    <col min="8" max="8" width="1.85546875" style="57" customWidth="1"/>
    <col min="9" max="9" width="27.85546875" style="57" bestFit="1" customWidth="1"/>
    <col min="10" max="10" width="21.28515625" style="57" customWidth="1"/>
    <col min="11" max="11" width="2.7109375" style="57" customWidth="1"/>
    <col min="12" max="12" width="28.5703125" style="59" customWidth="1"/>
    <col min="13" max="13" width="22.140625" style="59" bestFit="1" customWidth="1"/>
    <col min="14" max="14" width="1.42578125" style="57" customWidth="1"/>
    <col min="15" max="15" width="18.85546875" style="59" bestFit="1" customWidth="1"/>
    <col min="16" max="16" width="20.28515625" style="59" bestFit="1" customWidth="1"/>
    <col min="17" max="17" width="1.42578125" style="59" customWidth="1"/>
    <col min="18" max="18" width="21" style="59" bestFit="1" customWidth="1"/>
    <col min="19" max="19" width="20.85546875" style="59" customWidth="1"/>
    <col min="20" max="20" width="1.42578125" style="57" customWidth="1"/>
    <col min="21" max="21" width="21" style="57" bestFit="1" customWidth="1"/>
    <col min="22" max="22" width="20.85546875" style="57" customWidth="1"/>
    <col min="23" max="23" width="8.85546875" style="57" bestFit="1" customWidth="1"/>
    <col min="24" max="24" width="17.5703125" style="57" customWidth="1"/>
    <col min="25" max="25" width="18.140625" style="57" customWidth="1"/>
    <col min="26" max="26" width="9.140625" style="57" customWidth="1"/>
    <col min="27" max="29" width="9.140625" style="57" hidden="1" customWidth="1"/>
    <col min="30" max="30" width="10.85546875" style="57" hidden="1" customWidth="1"/>
    <col min="31" max="32" width="9.140625" style="57" hidden="1" customWidth="1"/>
    <col min="33" max="35" width="0" style="57" hidden="1" customWidth="1"/>
    <col min="36" max="37" width="9.140625" style="57" hidden="1" customWidth="1"/>
    <col min="38" max="39" width="0" style="57" hidden="1" customWidth="1"/>
    <col min="40" max="40" width="11.28515625" style="57" bestFit="1" customWidth="1"/>
    <col min="41" max="42" width="10.42578125" style="57" bestFit="1" customWidth="1"/>
    <col min="43" max="43" width="15.140625" style="57" bestFit="1" customWidth="1"/>
    <col min="44" max="16384" width="9.140625" style="57"/>
  </cols>
  <sheetData>
    <row r="1" spans="1:45" ht="29.25" customHeight="1">
      <c r="A1" s="243" t="s">
        <v>119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</row>
    <row r="2" spans="1:45" ht="29.25" customHeight="1">
      <c r="A2" s="243"/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</row>
    <row r="3" spans="1:45" s="205" customFormat="1" ht="14.25" customHeight="1"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176"/>
      <c r="X3" s="176"/>
      <c r="Y3" s="176"/>
      <c r="Z3" s="176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</row>
    <row r="4" spans="1:45" s="207" customFormat="1" ht="45">
      <c r="B4" s="208"/>
      <c r="C4" s="208"/>
      <c r="D4" s="208"/>
      <c r="E4" s="208"/>
      <c r="F4" s="209" t="s">
        <v>94</v>
      </c>
      <c r="G4" s="209"/>
      <c r="H4" s="210"/>
      <c r="I4" s="211">
        <v>12000</v>
      </c>
      <c r="J4" s="212" t="s">
        <v>116</v>
      </c>
      <c r="K4" s="213"/>
      <c r="L4" s="214" t="s">
        <v>111</v>
      </c>
      <c r="M4" s="215">
        <v>0</v>
      </c>
      <c r="N4" s="216" t="s">
        <v>116</v>
      </c>
      <c r="O4" s="217"/>
      <c r="P4" s="271" t="s">
        <v>42</v>
      </c>
      <c r="Q4" s="272"/>
      <c r="R4" s="219">
        <v>0.05</v>
      </c>
      <c r="T4" s="220">
        <f>I4*28%</f>
        <v>3360.0000000000005</v>
      </c>
      <c r="U4" s="220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</row>
    <row r="5" spans="1:45" s="207" customFormat="1" ht="23.25" customHeight="1">
      <c r="A5" s="221"/>
      <c r="B5" s="208"/>
      <c r="C5" s="208"/>
      <c r="D5" s="208"/>
      <c r="E5" s="208"/>
      <c r="F5" s="209"/>
      <c r="G5" s="209"/>
      <c r="H5" s="209"/>
      <c r="I5" s="209"/>
      <c r="J5" s="209"/>
      <c r="K5" s="209"/>
      <c r="L5" s="209"/>
      <c r="M5" s="209"/>
      <c r="N5" s="209"/>
      <c r="O5" s="217"/>
      <c r="P5" s="222"/>
      <c r="Q5" s="222"/>
      <c r="R5" s="217"/>
      <c r="S5" s="217"/>
      <c r="U5" s="220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</row>
    <row r="6" spans="1:45" s="207" customFormat="1" ht="23.25" customHeight="1">
      <c r="A6" s="221"/>
      <c r="B6" s="208"/>
      <c r="C6" s="208"/>
      <c r="D6" s="208"/>
      <c r="E6" s="208"/>
      <c r="F6" s="209" t="s">
        <v>117</v>
      </c>
      <c r="G6" s="209"/>
      <c r="H6" s="210"/>
      <c r="I6" s="211">
        <v>0</v>
      </c>
      <c r="J6" s="223" t="s">
        <v>116</v>
      </c>
      <c r="K6" s="224"/>
      <c r="L6" s="218" t="s">
        <v>88</v>
      </c>
      <c r="M6" s="215">
        <f>M4*8%</f>
        <v>0</v>
      </c>
      <c r="N6" s="225"/>
      <c r="O6" s="224"/>
      <c r="P6" s="271" t="s">
        <v>80</v>
      </c>
      <c r="Q6" s="272"/>
      <c r="R6" s="215">
        <f>'ANEXO 3'!O14/12</f>
        <v>312.48</v>
      </c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</row>
    <row r="7" spans="1:45" s="207" customFormat="1" ht="23.25" customHeight="1">
      <c r="A7" s="221"/>
      <c r="B7" s="208"/>
      <c r="C7" s="208"/>
      <c r="D7" s="208"/>
      <c r="E7" s="208"/>
      <c r="F7" s="206"/>
      <c r="G7" s="206"/>
      <c r="H7" s="206"/>
      <c r="I7" s="206"/>
      <c r="J7" s="206"/>
      <c r="L7" s="226" t="s">
        <v>71</v>
      </c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</row>
    <row r="8" spans="1:45" s="207" customFormat="1" ht="24" customHeight="1">
      <c r="A8" s="221"/>
      <c r="B8" s="208"/>
      <c r="C8" s="208"/>
      <c r="D8" s="208"/>
      <c r="E8" s="208"/>
      <c r="F8" s="209" t="s">
        <v>78</v>
      </c>
      <c r="G8" s="209"/>
      <c r="H8" s="210"/>
      <c r="I8" s="227">
        <v>5000</v>
      </c>
      <c r="J8" s="216" t="s">
        <v>116</v>
      </c>
      <c r="K8" s="213"/>
      <c r="L8" s="215">
        <f>IF(((((I6+I4)*28%)-M4)-R6)&lt;1100,1100,((((I6+I4)*28%)-M4)-R6))</f>
        <v>3047.5200000000004</v>
      </c>
      <c r="M8" s="215">
        <v>3809.4</v>
      </c>
      <c r="N8" s="216" t="s">
        <v>116</v>
      </c>
      <c r="O8" s="228"/>
      <c r="P8" s="228"/>
      <c r="Q8" s="229" t="s">
        <v>91</v>
      </c>
      <c r="R8" s="215">
        <v>0</v>
      </c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</row>
    <row r="9" spans="1:45" s="207" customFormat="1" ht="23.25" customHeight="1">
      <c r="A9" s="221"/>
      <c r="B9" s="208"/>
      <c r="C9" s="208"/>
      <c r="D9" s="208"/>
      <c r="E9" s="208"/>
      <c r="F9" s="209"/>
      <c r="G9" s="209"/>
      <c r="H9" s="209"/>
      <c r="I9" s="209"/>
      <c r="J9" s="209"/>
      <c r="K9" s="209"/>
      <c r="L9" s="209"/>
      <c r="M9" s="230"/>
      <c r="N9" s="209"/>
      <c r="O9" s="228"/>
      <c r="P9" s="228"/>
      <c r="Q9" s="229" t="s">
        <v>110</v>
      </c>
      <c r="R9" s="231" t="s">
        <v>120</v>
      </c>
      <c r="S9" s="232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</row>
    <row r="10" spans="1:45" ht="19.5" customHeight="1">
      <c r="L10" s="60"/>
      <c r="M10" s="57"/>
      <c r="O10" s="57"/>
      <c r="R10" s="58"/>
      <c r="S10" s="58"/>
      <c r="T10" s="58"/>
      <c r="U10" s="58"/>
      <c r="V10" s="59"/>
    </row>
    <row r="11" spans="1:45" s="144" customFormat="1" ht="19.5" customHeight="1">
      <c r="B11" s="270"/>
      <c r="C11" s="270"/>
      <c r="F11" s="253" t="s">
        <v>79</v>
      </c>
      <c r="G11" s="254"/>
      <c r="H11" s="254"/>
      <c r="I11" s="254"/>
      <c r="J11" s="255"/>
      <c r="L11" s="253" t="s">
        <v>123</v>
      </c>
      <c r="M11" s="254"/>
      <c r="N11" s="254"/>
      <c r="O11" s="254"/>
      <c r="P11" s="254"/>
      <c r="Q11" s="254"/>
      <c r="R11" s="254"/>
      <c r="S11" s="254"/>
      <c r="T11" s="254"/>
      <c r="U11" s="254"/>
      <c r="V11" s="255"/>
    </row>
    <row r="12" spans="1:45" s="144" customFormat="1" ht="19.5" customHeight="1">
      <c r="B12" s="270"/>
      <c r="C12" s="270"/>
      <c r="F12" s="256"/>
      <c r="G12" s="257"/>
      <c r="H12" s="257"/>
      <c r="I12" s="257"/>
      <c r="J12" s="258"/>
      <c r="L12" s="256"/>
      <c r="M12" s="257"/>
      <c r="N12" s="257"/>
      <c r="O12" s="257"/>
      <c r="P12" s="257"/>
      <c r="Q12" s="257"/>
      <c r="R12" s="257"/>
      <c r="S12" s="257"/>
      <c r="T12" s="257"/>
      <c r="U12" s="257"/>
      <c r="V12" s="258"/>
    </row>
    <row r="13" spans="1:45" s="148" customFormat="1" ht="3" customHeight="1" thickBot="1">
      <c r="B13" s="270"/>
      <c r="C13" s="270"/>
      <c r="F13" s="149"/>
      <c r="G13" s="149"/>
      <c r="H13" s="149"/>
      <c r="I13" s="149"/>
      <c r="J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</row>
    <row r="14" spans="1:45" ht="57.75" customHeight="1" thickTop="1" thickBot="1">
      <c r="B14" s="270"/>
      <c r="C14" s="270"/>
      <c r="L14" s="268" t="str">
        <f>IF(M8&lt;L8,"DESCONSIDERE O CÁLCULO DO ANEXO 3, VOCÊ NÃO ATINGIU O FATOR R","VOCÊ ATINGIU O FATOR R, POR ISSO PODERÁ SER ENQUADRADO NO ANEXO 3 TAMBÉM")</f>
        <v>VOCÊ ATINGIU O FATOR R, POR ISSO PODERÁ SER ENQUADRADO NO ANEXO 3 TAMBÉM</v>
      </c>
      <c r="M14" s="269"/>
    </row>
    <row r="15" spans="1:45" s="59" customFormat="1" ht="4.5" customHeight="1" thickTop="1" thickBot="1">
      <c r="B15" s="146"/>
      <c r="C15" s="146"/>
      <c r="L15" s="147"/>
      <c r="M15" s="14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</row>
    <row r="16" spans="1:45" ht="19.5" customHeight="1">
      <c r="B16" s="60"/>
      <c r="F16" s="263" t="s">
        <v>72</v>
      </c>
      <c r="G16" s="260"/>
      <c r="I16" s="264" t="s">
        <v>70</v>
      </c>
      <c r="J16" s="265"/>
      <c r="L16" s="259" t="s">
        <v>69</v>
      </c>
      <c r="M16" s="260"/>
      <c r="N16" s="62"/>
      <c r="O16" s="259" t="s">
        <v>68</v>
      </c>
      <c r="P16" s="260"/>
      <c r="Q16" s="63"/>
      <c r="R16" s="263" t="s">
        <v>44</v>
      </c>
      <c r="S16" s="260"/>
      <c r="T16" s="62"/>
      <c r="U16" s="249" t="s">
        <v>89</v>
      </c>
      <c r="V16" s="250"/>
      <c r="W16" s="62"/>
      <c r="AC16" s="61"/>
      <c r="AD16" s="61"/>
      <c r="AE16" s="61"/>
      <c r="AF16" s="61"/>
    </row>
    <row r="17" spans="2:43" ht="19.5" customHeight="1" thickBot="1">
      <c r="B17" s="156" t="s">
        <v>54</v>
      </c>
      <c r="C17" s="157">
        <v>1</v>
      </c>
      <c r="F17" s="261"/>
      <c r="G17" s="262"/>
      <c r="I17" s="266"/>
      <c r="J17" s="267"/>
      <c r="L17" s="261"/>
      <c r="M17" s="262"/>
      <c r="N17" s="62"/>
      <c r="O17" s="261"/>
      <c r="P17" s="262"/>
      <c r="Q17" s="63"/>
      <c r="R17" s="261"/>
      <c r="S17" s="262"/>
      <c r="T17" s="62"/>
      <c r="U17" s="251"/>
      <c r="V17" s="252"/>
      <c r="W17" s="62"/>
      <c r="Z17" s="61"/>
      <c r="AA17" s="61"/>
      <c r="AB17" s="61"/>
      <c r="AC17" s="61"/>
      <c r="AD17" s="61"/>
      <c r="AE17" s="61"/>
      <c r="AF17" s="61"/>
    </row>
    <row r="18" spans="2:43" ht="19.5" customHeight="1" thickTop="1" thickBot="1">
      <c r="B18" s="66" t="s">
        <v>93</v>
      </c>
      <c r="C18" s="171">
        <v>0</v>
      </c>
      <c r="F18" s="61"/>
      <c r="G18" s="61"/>
      <c r="I18" s="61"/>
      <c r="J18" s="61"/>
      <c r="L18" s="67"/>
      <c r="M18" s="68"/>
      <c r="O18" s="67"/>
      <c r="P18" s="68"/>
      <c r="Q18" s="68"/>
      <c r="R18" s="68"/>
      <c r="S18" s="68"/>
      <c r="T18" s="61"/>
      <c r="U18" s="68"/>
      <c r="V18" s="68"/>
      <c r="W18" s="61"/>
      <c r="Z18" s="61"/>
      <c r="AA18" s="61"/>
      <c r="AB18" s="61"/>
      <c r="AC18" s="61"/>
      <c r="AD18" s="61"/>
      <c r="AE18" s="61"/>
      <c r="AF18" s="61"/>
    </row>
    <row r="19" spans="2:43" ht="19.5" customHeight="1" thickTop="1" thickBot="1">
      <c r="B19" s="64" t="s">
        <v>2</v>
      </c>
      <c r="C19" s="171">
        <f>I4</f>
        <v>12000</v>
      </c>
      <c r="D19" s="69"/>
      <c r="F19" s="70"/>
      <c r="G19" s="70"/>
      <c r="I19" s="71"/>
      <c r="J19" s="72"/>
      <c r="L19" s="73" t="s">
        <v>50</v>
      </c>
      <c r="M19" s="74">
        <f>VLOOKUP(L19,resumo!$B$2:$C$3,2,0)</f>
        <v>8640</v>
      </c>
      <c r="O19" s="73" t="s">
        <v>51</v>
      </c>
      <c r="P19" s="74">
        <f>VLOOKUP(O19,resumo!$B$2:$C$3,2,0)</f>
        <v>22320</v>
      </c>
      <c r="R19" s="75" t="s">
        <v>40</v>
      </c>
      <c r="S19" s="74">
        <f>resumo!C6</f>
        <v>936</v>
      </c>
      <c r="T19" s="70"/>
      <c r="U19" s="75" t="s">
        <v>40</v>
      </c>
      <c r="V19" s="74">
        <f>resumo!C6</f>
        <v>936</v>
      </c>
      <c r="W19" s="233"/>
    </row>
    <row r="20" spans="2:43" ht="19.5" customHeight="1" thickTop="1" thickBot="1">
      <c r="B20" s="66" t="s">
        <v>48</v>
      </c>
      <c r="C20" s="76">
        <v>0.32</v>
      </c>
      <c r="F20" s="70"/>
      <c r="G20" s="70"/>
      <c r="I20" s="71"/>
      <c r="J20" s="72"/>
      <c r="L20" s="73">
        <v>0</v>
      </c>
      <c r="M20" s="74">
        <f>VLOOKUP(L20,resumo!$B$2:$C$4,2,0)</f>
        <v>0</v>
      </c>
      <c r="O20" s="73">
        <v>0</v>
      </c>
      <c r="P20" s="74">
        <f>VLOOKUP(O20,resumo!$B$2:$C$4,2,0)</f>
        <v>0</v>
      </c>
      <c r="Q20" s="77"/>
      <c r="R20" s="75" t="s">
        <v>41</v>
      </c>
      <c r="S20" s="74">
        <f>resumo!C7</f>
        <v>4320</v>
      </c>
      <c r="T20" s="70"/>
      <c r="U20" s="75" t="s">
        <v>41</v>
      </c>
      <c r="V20" s="74">
        <f>resumo!C7</f>
        <v>4320</v>
      </c>
      <c r="W20" s="233"/>
    </row>
    <row r="21" spans="2:43" ht="19.5" customHeight="1" thickBot="1">
      <c r="B21" s="64" t="s">
        <v>49</v>
      </c>
      <c r="C21" s="78">
        <v>0.32</v>
      </c>
      <c r="F21" s="70"/>
      <c r="G21" s="70"/>
      <c r="I21" s="71"/>
      <c r="J21" s="72"/>
      <c r="L21" s="79"/>
      <c r="M21" s="80"/>
      <c r="O21" s="79"/>
      <c r="P21" s="80"/>
      <c r="Q21" s="77"/>
      <c r="R21" s="75" t="s">
        <v>42</v>
      </c>
      <c r="S21" s="74">
        <f>resumo!C8</f>
        <v>7200</v>
      </c>
      <c r="T21" s="70"/>
      <c r="U21" s="75" t="s">
        <v>42</v>
      </c>
      <c r="V21" s="74">
        <f>C23/3</f>
        <v>39.903333333333329</v>
      </c>
      <c r="W21" s="233"/>
    </row>
    <row r="22" spans="2:43" ht="19.5" customHeight="1" thickTop="1" thickBot="1">
      <c r="B22" s="81" t="s">
        <v>42</v>
      </c>
      <c r="C22" s="172">
        <f>R4</f>
        <v>0.05</v>
      </c>
      <c r="F22" s="70"/>
      <c r="G22" s="70"/>
      <c r="I22" s="71"/>
      <c r="J22" s="72"/>
      <c r="L22" s="82"/>
      <c r="M22" s="80"/>
      <c r="O22" s="82"/>
      <c r="P22" s="80"/>
      <c r="R22" s="75" t="s">
        <v>43</v>
      </c>
      <c r="S22" s="74">
        <f>SUM(resumo!C9:C10)</f>
        <v>6912</v>
      </c>
      <c r="T22" s="70"/>
      <c r="U22" s="75" t="s">
        <v>43</v>
      </c>
      <c r="V22" s="74">
        <f>SUM(resumo!C9:C10)</f>
        <v>6912</v>
      </c>
      <c r="W22" s="233"/>
    </row>
    <row r="23" spans="2:43" ht="19.5" customHeight="1" thickTop="1" thickBot="1">
      <c r="B23" s="119" t="s">
        <v>90</v>
      </c>
      <c r="C23" s="65">
        <v>119.71</v>
      </c>
      <c r="F23" s="70"/>
      <c r="G23" s="70"/>
      <c r="I23" s="83"/>
      <c r="J23" s="84"/>
      <c r="L23" s="85"/>
      <c r="M23" s="86"/>
      <c r="O23" s="85"/>
      <c r="P23" s="86"/>
      <c r="R23" s="75" t="s">
        <v>46</v>
      </c>
      <c r="S23" s="74">
        <f>resumo!C11</f>
        <v>4147.2</v>
      </c>
      <c r="T23" s="70"/>
      <c r="U23" s="75" t="s">
        <v>46</v>
      </c>
      <c r="V23" s="74">
        <f>resumo!C11</f>
        <v>4147.2</v>
      </c>
      <c r="W23" s="233"/>
    </row>
    <row r="24" spans="2:43" ht="19.5" customHeight="1" thickTop="1" thickBot="1">
      <c r="B24" s="66" t="s">
        <v>67</v>
      </c>
      <c r="C24" s="173">
        <f>M8</f>
        <v>3809.4</v>
      </c>
      <c r="D24" s="87"/>
      <c r="F24" s="70"/>
      <c r="G24" s="70"/>
      <c r="I24" s="88" t="s">
        <v>63</v>
      </c>
      <c r="J24" s="89">
        <f>SUM(J19:J23)</f>
        <v>0</v>
      </c>
      <c r="L24" s="88" t="s">
        <v>62</v>
      </c>
      <c r="M24" s="90">
        <f>SUM(M19:M23)</f>
        <v>8640</v>
      </c>
      <c r="O24" s="88" t="s">
        <v>62</v>
      </c>
      <c r="P24" s="90">
        <f>SUM(P19:P23)</f>
        <v>22320</v>
      </c>
      <c r="Q24" s="91"/>
      <c r="R24" s="88" t="s">
        <v>63</v>
      </c>
      <c r="S24" s="89">
        <f>SUM(S19:S23)</f>
        <v>23515.200000000001</v>
      </c>
      <c r="T24" s="70"/>
      <c r="U24" s="88" t="s">
        <v>63</v>
      </c>
      <c r="V24" s="89">
        <f>SUM(V19:V23)</f>
        <v>16355.103333333333</v>
      </c>
      <c r="W24" s="233"/>
    </row>
    <row r="25" spans="2:43" ht="19.5" customHeight="1" thickBot="1">
      <c r="B25" s="66" t="s">
        <v>92</v>
      </c>
      <c r="C25" s="173">
        <f>R8</f>
        <v>0</v>
      </c>
      <c r="F25" s="88" t="s">
        <v>77</v>
      </c>
      <c r="G25" s="92">
        <f>resumo!C16</f>
        <v>701.79365000000018</v>
      </c>
      <c r="I25" s="88" t="s">
        <v>64</v>
      </c>
      <c r="J25" s="90">
        <f>J24/12</f>
        <v>0</v>
      </c>
      <c r="L25" s="88" t="s">
        <v>61</v>
      </c>
      <c r="M25" s="92">
        <f>M24/12</f>
        <v>720</v>
      </c>
      <c r="O25" s="88" t="s">
        <v>61</v>
      </c>
      <c r="P25" s="92">
        <f>P24/12</f>
        <v>1860</v>
      </c>
      <c r="Q25" s="91"/>
      <c r="R25" s="88" t="s">
        <v>64</v>
      </c>
      <c r="S25" s="92">
        <f>S24/12</f>
        <v>1959.6000000000001</v>
      </c>
      <c r="T25" s="70"/>
      <c r="U25" s="88" t="s">
        <v>64</v>
      </c>
      <c r="V25" s="92">
        <f>V24/12</f>
        <v>1362.9252777777776</v>
      </c>
      <c r="W25" s="234"/>
    </row>
    <row r="26" spans="2:43" ht="23.25" customHeight="1" thickBot="1">
      <c r="B26" s="66"/>
      <c r="C26" s="59"/>
      <c r="J26" s="93" t="str">
        <f>IF(C19&lt;=1045,"7,5%",IF(AND(C19&gt;1045.01,C19&lt;=2089.6),"9%",IF(AND(C19&gt;2089.61,C19&lt;=3134.4),"12%",IF(AND(C19&gt;3134.41,C19&lt;=6101.06),"14%",IF(AND(C19&gt;6101.07),"713,10")))))</f>
        <v>713,10</v>
      </c>
      <c r="M26" s="93">
        <f>IF(C24&gt;6433.57,707.69,C24*11%)</f>
        <v>419.03399999999999</v>
      </c>
      <c r="N26" s="145"/>
      <c r="O26" s="93"/>
      <c r="P26" s="93">
        <f>IF(C25&gt;6433.57,707.69,C25*11%)</f>
        <v>0</v>
      </c>
      <c r="Q26" s="91"/>
      <c r="R26" s="93"/>
      <c r="S26" s="93">
        <f>IF(C25&gt;6433.57,707.69,C25*11%)</f>
        <v>0</v>
      </c>
      <c r="T26" s="70"/>
      <c r="U26" s="93"/>
      <c r="V26" s="93">
        <f>IF(C25&gt;6433.57,707.69,C25*11%)</f>
        <v>0</v>
      </c>
    </row>
    <row r="27" spans="2:43" ht="23.25" customHeight="1" thickBot="1">
      <c r="B27" s="120" t="s">
        <v>73</v>
      </c>
      <c r="C27" s="174">
        <f>I8*-1</f>
        <v>-5000</v>
      </c>
      <c r="D27" s="94"/>
      <c r="F27" s="95" t="s">
        <v>55</v>
      </c>
      <c r="G27" s="96">
        <f>C28*20%</f>
        <v>1286.7139999999999</v>
      </c>
      <c r="I27" s="73" t="s">
        <v>55</v>
      </c>
      <c r="J27" s="97" t="str">
        <f>IF(J26="713,10","713,10",J26*C19)</f>
        <v>713,10</v>
      </c>
      <c r="L27" s="73" t="s">
        <v>55</v>
      </c>
      <c r="M27" s="59">
        <f>IF(R9="SIM",0,M26)</f>
        <v>419.03399999999999</v>
      </c>
      <c r="O27" s="73" t="s">
        <v>55</v>
      </c>
      <c r="P27" s="59">
        <f>IF(R9="SIM",0,P26)</f>
        <v>0</v>
      </c>
      <c r="R27" s="73" t="s">
        <v>55</v>
      </c>
      <c r="S27" s="59">
        <f>IF(R9="SIM",0,S26)</f>
        <v>0</v>
      </c>
      <c r="U27" s="73" t="s">
        <v>55</v>
      </c>
      <c r="V27" s="57">
        <f>IF(R9="SIM",0,V26)</f>
        <v>0</v>
      </c>
    </row>
    <row r="28" spans="2:43" ht="23.25" customHeight="1" thickBot="1">
      <c r="B28" s="120" t="s">
        <v>95</v>
      </c>
      <c r="C28" s="175" t="str">
        <f>IF(C19&gt;6433.57,"R$6433,57",C19)</f>
        <v>R$6433,57</v>
      </c>
      <c r="F28" s="99"/>
      <c r="G28" s="100"/>
      <c r="I28" s="99"/>
      <c r="J28" s="101"/>
      <c r="L28" s="102" t="s">
        <v>60</v>
      </c>
      <c r="M28" s="98">
        <f>C24*0%</f>
        <v>0</v>
      </c>
      <c r="O28" s="102" t="s">
        <v>60</v>
      </c>
      <c r="P28" s="98">
        <f>C25*0%</f>
        <v>0</v>
      </c>
      <c r="R28" s="102" t="s">
        <v>60</v>
      </c>
      <c r="S28" s="103">
        <f>C25*20%</f>
        <v>0</v>
      </c>
      <c r="U28" s="102" t="s">
        <v>60</v>
      </c>
      <c r="V28" s="103">
        <f>C25*20%</f>
        <v>0</v>
      </c>
    </row>
    <row r="29" spans="2:43" s="104" customFormat="1" ht="12">
      <c r="F29" s="105"/>
      <c r="G29" s="106"/>
      <c r="I29" s="150" t="s">
        <v>58</v>
      </c>
      <c r="J29" s="151">
        <f>C19-J27</f>
        <v>11286.9</v>
      </c>
      <c r="L29" s="150" t="s">
        <v>58</v>
      </c>
      <c r="M29" s="151">
        <f>C24-M27</f>
        <v>3390.366</v>
      </c>
      <c r="O29" s="150" t="s">
        <v>58</v>
      </c>
      <c r="P29" s="151">
        <f>C25-P27</f>
        <v>0</v>
      </c>
      <c r="Q29" s="107"/>
      <c r="R29" s="150" t="s">
        <v>58</v>
      </c>
      <c r="S29" s="151">
        <f>C25-S27</f>
        <v>0</v>
      </c>
      <c r="U29" s="150" t="s">
        <v>58</v>
      </c>
      <c r="V29" s="151">
        <f>C25-V27</f>
        <v>0</v>
      </c>
      <c r="AN29" s="235"/>
      <c r="AO29" s="236"/>
      <c r="AP29" s="236"/>
      <c r="AQ29" s="236"/>
    </row>
    <row r="30" spans="2:43" s="104" customFormat="1" ht="12">
      <c r="F30" s="105"/>
      <c r="G30" s="108"/>
      <c r="I30" s="150" t="s">
        <v>56</v>
      </c>
      <c r="J30" s="152" t="str">
        <f>IF(J29&lt;=1903.98,"0%",IF(AND(J29&gt;1903.99,J29&lt;=2826.65),"7,5%",IF(AND(J29&gt;2826.66,J29&lt;=3751.05),"15%",IF(AND(J29&gt;3751.06,J29&lt;=4664.68),"22,5%",IF(AND(J29&gt;4664.69),"27,5%",0)))))</f>
        <v>27,5%</v>
      </c>
      <c r="L30" s="150" t="s">
        <v>56</v>
      </c>
      <c r="M30" s="152" t="str">
        <f>IF(M29&lt;=1903.98,"0%",IF(AND(M29&gt;1903.99,M29&lt;=2826.65),"7,5%",IF(AND(M29&gt;2826.66,M29&lt;=3751.05),"15%",IF(AND(M29&gt;3751.06,M29&lt;=4664.68),"22,5%",IF(AND(M29&gt;4664.69),"27,5%",0)))))</f>
        <v>15%</v>
      </c>
      <c r="O30" s="150" t="s">
        <v>56</v>
      </c>
      <c r="P30" s="152" t="str">
        <f>IF(P29&lt;=1903.98,"0%",IF(AND(P29&gt;1903.99,P29&lt;=2826.65),"7,5%",IF(AND(P29&gt;2826.66,P29&lt;=3751.05),"15%",IF(AND(P29&gt;3751.06,P29&lt;=4664.68),"22,5%",IF(AND(P29&gt;4664.69),"27,5%",0)))))</f>
        <v>0%</v>
      </c>
      <c r="Q30" s="107"/>
      <c r="R30" s="150" t="s">
        <v>56</v>
      </c>
      <c r="S30" s="152" t="str">
        <f>IF(S29&lt;=1903.98,"0%",IF(AND(S29&gt;1903.99,S29&lt;=2826.65),"7,5%",IF(AND(S29&gt;2826.66,S29&lt;=3751.05),"15%",IF(AND(S29&gt;3751.06,S29&lt;=4664.68),"22,5%",IF(AND(S29&gt;4664.69),"27,5%",0)))))</f>
        <v>0%</v>
      </c>
      <c r="U30" s="150" t="s">
        <v>56</v>
      </c>
      <c r="V30" s="152" t="str">
        <f>IF(V29&lt;=1903.98,"0%",IF(AND(V29&gt;1903.99,V29&lt;=2826.65),"7,5%",IF(AND(V29&gt;2826.66,V29&lt;=3751.05),"15%",IF(AND(V29&gt;3751.06,V29&lt;=4664.68),"22,5%",IF(AND(V29&gt;4664.69),"27,5%",0)))))</f>
        <v>0%</v>
      </c>
      <c r="AN30" s="235"/>
      <c r="AO30" s="236"/>
      <c r="AP30" s="236"/>
      <c r="AQ30" s="236"/>
    </row>
    <row r="31" spans="2:43" s="104" customFormat="1" ht="12.75" thickBot="1">
      <c r="F31" s="105"/>
      <c r="G31" s="108"/>
      <c r="I31" s="150" t="s">
        <v>57</v>
      </c>
      <c r="J31" s="152" t="str">
        <f>IF(J29&lt;=1903.98,"0",IF(AND(J29&gt;1903.99,J29&lt;=2826.65),"142,80",IF(AND(J29&gt;2826.66,J29&lt;=3751.05),"354,80",IF(AND(J29&gt;3751.06,J29&lt;=4664.68),"636,13",IF(AND(J29&gt;4664.69),"869,36",0)))))</f>
        <v>869,36</v>
      </c>
      <c r="L31" s="150" t="s">
        <v>57</v>
      </c>
      <c r="M31" s="152" t="str">
        <f>IF(M29&lt;=1903.98,"0",IF(AND(M29&gt;1903.99,M29&lt;=2826.65),"142,80",IF(AND(M29&gt;2826.66,M29&lt;=3751.05),"354,80",IF(AND(M29&gt;3751.06,M29&lt;=4664.68),"636,13",IF(AND(M29&gt;4664.69),"869,36",0)))))</f>
        <v>354,80</v>
      </c>
      <c r="O31" s="150" t="s">
        <v>57</v>
      </c>
      <c r="P31" s="152" t="str">
        <f>IF(P29&lt;=1903.98,"0",IF(AND(P29&gt;1903.99,P29&lt;=2826.65),"142,80",IF(AND(P29&gt;2826.66,P29&lt;=3751.05),"354,80",IF(AND(P29&gt;3751.06,P29&lt;=4664.68),"636,13",IF(AND(P29&gt;4664.69),"869,36",0)))))</f>
        <v>0</v>
      </c>
      <c r="Q31" s="107"/>
      <c r="R31" s="150" t="s">
        <v>57</v>
      </c>
      <c r="S31" s="152" t="str">
        <f>IF(S29&lt;=1903.98,"0",IF(AND(S29&gt;1903.99,S29&lt;=2826.65),"142,80",IF(AND(S29&gt;2826.66,S29&lt;=3751.05),"354,80",IF(AND(S29&gt;3751.06,S29&lt;=4664.68),"636,13",IF(AND(S29&gt;4664.69),"869,36",0)))))</f>
        <v>0</v>
      </c>
      <c r="U31" s="150" t="s">
        <v>57</v>
      </c>
      <c r="V31" s="152" t="str">
        <f>IF(V29&lt;=1903.98,"0",IF(AND(V29&gt;1903.99,V29&lt;=2826.65),"142,80",IF(AND(V29&gt;2826.66,V29&lt;=3751.05),"354,80",IF(AND(V29&gt;3751.06,V29&lt;=4664.68),"636,13",IF(AND(V29&gt;4664.69),"869,36",0)))))</f>
        <v>0</v>
      </c>
      <c r="AN31" s="235"/>
      <c r="AO31" s="236"/>
      <c r="AP31" s="236"/>
      <c r="AQ31" s="236"/>
    </row>
    <row r="32" spans="2:43" ht="23.25" customHeight="1" thickBot="1">
      <c r="F32" s="109" t="s">
        <v>66</v>
      </c>
      <c r="G32" s="92">
        <f>G34*G27</f>
        <v>1286.7139999999999</v>
      </c>
      <c r="I32" s="73" t="s">
        <v>52</v>
      </c>
      <c r="J32" s="92">
        <f>J29*J30-J31</f>
        <v>2234.5374999999999</v>
      </c>
      <c r="L32" s="73" t="s">
        <v>52</v>
      </c>
      <c r="M32" s="110">
        <f>M29*M30-M31</f>
        <v>153.75489999999996</v>
      </c>
      <c r="O32" s="73" t="s">
        <v>52</v>
      </c>
      <c r="P32" s="110">
        <f>P29*P30-P31</f>
        <v>0</v>
      </c>
      <c r="R32" s="73" t="s">
        <v>52</v>
      </c>
      <c r="S32" s="110">
        <f>S29*S30-S31</f>
        <v>0</v>
      </c>
      <c r="U32" s="73" t="s">
        <v>52</v>
      </c>
      <c r="V32" s="110">
        <f>V29*V30-V31</f>
        <v>0</v>
      </c>
      <c r="Z32" s="104"/>
      <c r="AN32" s="235"/>
      <c r="AO32" s="236"/>
      <c r="AP32" s="236"/>
      <c r="AQ32" s="236"/>
    </row>
    <row r="33" spans="1:45" ht="33" customHeight="1" thickBot="1">
      <c r="F33" s="111"/>
      <c r="G33" s="98"/>
      <c r="I33" s="112"/>
      <c r="J33" s="113"/>
      <c r="L33" s="109" t="s">
        <v>59</v>
      </c>
      <c r="M33" s="90">
        <f>M27+M28+M32</f>
        <v>572.78890000000001</v>
      </c>
      <c r="O33" s="109" t="s">
        <v>59</v>
      </c>
      <c r="P33" s="90">
        <f>P27+P28+P32</f>
        <v>0</v>
      </c>
      <c r="R33" s="109" t="s">
        <v>59</v>
      </c>
      <c r="S33" s="90">
        <f>S27+S28+S32</f>
        <v>0</v>
      </c>
      <c r="U33" s="109" t="s">
        <v>59</v>
      </c>
      <c r="V33" s="90">
        <f>V27+V28+V32</f>
        <v>0</v>
      </c>
      <c r="Z33" s="104"/>
      <c r="AN33" s="235"/>
      <c r="AO33" s="236"/>
      <c r="AP33" s="236"/>
      <c r="AQ33" s="236"/>
    </row>
    <row r="34" spans="1:45" s="155" customFormat="1" ht="15" thickBot="1">
      <c r="F34" s="153" t="s">
        <v>65</v>
      </c>
      <c r="G34" s="154">
        <f>C17</f>
        <v>1</v>
      </c>
      <c r="I34" s="153"/>
      <c r="J34" s="154"/>
      <c r="L34" s="158" t="s">
        <v>65</v>
      </c>
      <c r="M34" s="159">
        <f>C17</f>
        <v>1</v>
      </c>
      <c r="O34" s="158" t="s">
        <v>65</v>
      </c>
      <c r="P34" s="159">
        <f>C17</f>
        <v>1</v>
      </c>
      <c r="R34" s="158" t="s">
        <v>65</v>
      </c>
      <c r="S34" s="159">
        <f>C17</f>
        <v>1</v>
      </c>
      <c r="U34" s="158" t="s">
        <v>65</v>
      </c>
      <c r="V34" s="159">
        <f>C17</f>
        <v>1</v>
      </c>
      <c r="W34" s="177"/>
      <c r="X34" s="177"/>
      <c r="Y34" s="177"/>
      <c r="Z34" s="23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7"/>
      <c r="AK34" s="177"/>
      <c r="AL34" s="177"/>
      <c r="AM34" s="177"/>
      <c r="AN34" s="238"/>
      <c r="AO34" s="239"/>
      <c r="AP34" s="239"/>
      <c r="AQ34" s="239"/>
      <c r="AR34" s="177"/>
      <c r="AS34" s="177"/>
    </row>
    <row r="35" spans="1:45" ht="42.75" customHeight="1" thickBot="1">
      <c r="I35" s="111"/>
      <c r="J35" s="98"/>
      <c r="L35" s="109" t="s">
        <v>66</v>
      </c>
      <c r="M35" s="92">
        <f>M33*M34</f>
        <v>572.78890000000001</v>
      </c>
      <c r="O35" s="109" t="s">
        <v>66</v>
      </c>
      <c r="P35" s="92">
        <f>P33*P34</f>
        <v>0</v>
      </c>
      <c r="R35" s="109" t="s">
        <v>66</v>
      </c>
      <c r="S35" s="92">
        <f>S33*S34</f>
        <v>0</v>
      </c>
      <c r="U35" s="109" t="s">
        <v>66</v>
      </c>
      <c r="V35" s="92">
        <f>V33*V34</f>
        <v>0</v>
      </c>
      <c r="Z35" s="104"/>
      <c r="AN35" s="235"/>
      <c r="AO35" s="236"/>
      <c r="AP35" s="236"/>
      <c r="AQ35" s="236"/>
    </row>
    <row r="36" spans="1:45" ht="19.5" customHeight="1" thickBot="1">
      <c r="F36" s="59"/>
      <c r="G36" s="59"/>
      <c r="H36" s="59"/>
      <c r="K36" s="59"/>
      <c r="L36" s="114"/>
      <c r="M36" s="80"/>
      <c r="N36" s="59"/>
      <c r="O36" s="114"/>
      <c r="P36" s="80"/>
      <c r="Q36" s="114"/>
      <c r="U36" s="59"/>
      <c r="V36" s="59"/>
      <c r="Z36" s="104"/>
      <c r="AN36" s="235"/>
      <c r="AO36" s="236"/>
      <c r="AP36" s="236"/>
      <c r="AQ36" s="236"/>
    </row>
    <row r="37" spans="1:45" s="60" customFormat="1" ht="19.5" customHeight="1">
      <c r="A37" s="57"/>
      <c r="B37" s="57"/>
      <c r="C37" s="57"/>
      <c r="D37" s="57"/>
      <c r="E37" s="57"/>
      <c r="F37" s="248" t="s">
        <v>81</v>
      </c>
      <c r="G37" s="245"/>
      <c r="H37" s="115"/>
      <c r="I37" s="244" t="s">
        <v>81</v>
      </c>
      <c r="J37" s="245"/>
      <c r="K37" s="115"/>
      <c r="L37" s="244" t="s">
        <v>85</v>
      </c>
      <c r="M37" s="245"/>
      <c r="N37" s="115"/>
      <c r="O37" s="244" t="s">
        <v>85</v>
      </c>
      <c r="P37" s="245"/>
      <c r="Q37" s="115"/>
      <c r="R37" s="244" t="s">
        <v>81</v>
      </c>
      <c r="S37" s="245"/>
      <c r="U37" s="244" t="s">
        <v>81</v>
      </c>
      <c r="V37" s="245"/>
      <c r="Z37" s="104"/>
      <c r="AN37" s="235"/>
      <c r="AO37" s="236"/>
      <c r="AP37" s="236"/>
      <c r="AQ37" s="236"/>
    </row>
    <row r="38" spans="1:45" s="60" customFormat="1" ht="19.5" customHeight="1">
      <c r="A38" s="57"/>
      <c r="B38" s="57"/>
      <c r="C38" s="57"/>
      <c r="D38" s="57"/>
      <c r="E38" s="57"/>
      <c r="F38" s="162"/>
      <c r="G38" s="163">
        <f>G25</f>
        <v>701.79365000000018</v>
      </c>
      <c r="I38" s="162"/>
      <c r="J38" s="163">
        <f>J32</f>
        <v>2234.5374999999999</v>
      </c>
      <c r="L38" s="162"/>
      <c r="M38" s="163">
        <f>M25</f>
        <v>720</v>
      </c>
      <c r="O38" s="162"/>
      <c r="P38" s="163">
        <f>P25</f>
        <v>1860</v>
      </c>
      <c r="Q38" s="115"/>
      <c r="R38" s="162"/>
      <c r="S38" s="163">
        <f>S25</f>
        <v>1959.6000000000001</v>
      </c>
      <c r="U38" s="162"/>
      <c r="V38" s="163">
        <f>V25</f>
        <v>1362.9252777777776</v>
      </c>
      <c r="Z38" s="104"/>
      <c r="AN38" s="235"/>
      <c r="AO38" s="236"/>
      <c r="AP38" s="236"/>
      <c r="AQ38" s="236"/>
    </row>
    <row r="39" spans="1:45" s="60" customFormat="1" ht="6" customHeight="1">
      <c r="A39" s="57"/>
      <c r="B39" s="57"/>
      <c r="C39" s="57"/>
      <c r="D39" s="57"/>
      <c r="E39" s="57"/>
      <c r="F39" s="164"/>
      <c r="G39" s="165"/>
      <c r="I39" s="164"/>
      <c r="J39" s="165"/>
      <c r="L39" s="164"/>
      <c r="M39" s="165"/>
      <c r="O39" s="164"/>
      <c r="P39" s="165"/>
      <c r="Q39" s="115"/>
      <c r="R39" s="164"/>
      <c r="S39" s="165"/>
      <c r="U39" s="164"/>
      <c r="V39" s="165"/>
    </row>
    <row r="40" spans="1:45" s="60" customFormat="1" ht="19.5" customHeight="1">
      <c r="A40" s="57"/>
      <c r="B40" s="57"/>
      <c r="C40" s="57"/>
      <c r="D40" s="57"/>
      <c r="E40" s="57"/>
      <c r="F40" s="246" t="s">
        <v>82</v>
      </c>
      <c r="G40" s="247"/>
      <c r="I40" s="246" t="s">
        <v>82</v>
      </c>
      <c r="J40" s="247"/>
      <c r="L40" s="246" t="s">
        <v>82</v>
      </c>
      <c r="M40" s="247"/>
      <c r="O40" s="246" t="s">
        <v>82</v>
      </c>
      <c r="P40" s="247"/>
      <c r="Q40" s="115"/>
      <c r="R40" s="246" t="s">
        <v>82</v>
      </c>
      <c r="S40" s="247"/>
      <c r="U40" s="246" t="s">
        <v>82</v>
      </c>
      <c r="V40" s="247"/>
      <c r="AQ40" s="240"/>
    </row>
    <row r="41" spans="1:45" s="60" customFormat="1" ht="19.5" customHeight="1">
      <c r="A41" s="57"/>
      <c r="B41" s="57"/>
      <c r="C41" s="57"/>
      <c r="D41" s="57"/>
      <c r="E41" s="57"/>
      <c r="F41" s="166"/>
      <c r="G41" s="163">
        <f>G32</f>
        <v>1286.7139999999999</v>
      </c>
      <c r="I41" s="166"/>
      <c r="J41" s="170" t="str">
        <f>J27</f>
        <v>713,10</v>
      </c>
      <c r="L41" s="166"/>
      <c r="M41" s="163">
        <f>M35</f>
        <v>572.78890000000001</v>
      </c>
      <c r="O41" s="166"/>
      <c r="P41" s="163">
        <f>P35</f>
        <v>0</v>
      </c>
      <c r="Q41" s="115"/>
      <c r="R41" s="166"/>
      <c r="S41" s="163">
        <f>S35</f>
        <v>0</v>
      </c>
      <c r="U41" s="166"/>
      <c r="V41" s="163">
        <f>V35</f>
        <v>0</v>
      </c>
      <c r="AQ41" s="240"/>
    </row>
    <row r="42" spans="1:45" s="60" customFormat="1" ht="6" customHeight="1">
      <c r="A42" s="57"/>
      <c r="B42" s="57"/>
      <c r="C42" s="57"/>
      <c r="D42" s="57"/>
      <c r="E42" s="57"/>
      <c r="F42" s="164"/>
      <c r="G42" s="165"/>
      <c r="I42" s="164"/>
      <c r="J42" s="165"/>
      <c r="L42" s="164"/>
      <c r="M42" s="165"/>
      <c r="O42" s="164"/>
      <c r="P42" s="165"/>
      <c r="Q42" s="115"/>
      <c r="R42" s="164"/>
      <c r="S42" s="165"/>
      <c r="U42" s="164"/>
      <c r="V42" s="165"/>
    </row>
    <row r="43" spans="1:45" s="60" customFormat="1" ht="19.5" customHeight="1">
      <c r="A43" s="57"/>
      <c r="B43" s="57"/>
      <c r="C43" s="57"/>
      <c r="D43" s="57"/>
      <c r="E43" s="57"/>
      <c r="F43" s="246" t="s">
        <v>83</v>
      </c>
      <c r="G43" s="247"/>
      <c r="I43" s="246" t="s">
        <v>83</v>
      </c>
      <c r="J43" s="247"/>
      <c r="L43" s="246" t="s">
        <v>83</v>
      </c>
      <c r="M43" s="247"/>
      <c r="O43" s="246" t="s">
        <v>83</v>
      </c>
      <c r="P43" s="247"/>
      <c r="Q43" s="115"/>
      <c r="R43" s="246" t="s">
        <v>83</v>
      </c>
      <c r="S43" s="247"/>
      <c r="U43" s="246" t="s">
        <v>83</v>
      </c>
      <c r="V43" s="247"/>
    </row>
    <row r="44" spans="1:45" s="60" customFormat="1" ht="19.5" customHeight="1">
      <c r="A44" s="57"/>
      <c r="B44" s="57"/>
      <c r="C44" s="57"/>
      <c r="D44" s="57"/>
      <c r="E44" s="57"/>
      <c r="F44" s="166"/>
      <c r="G44" s="167">
        <f>G38+G41</f>
        <v>1988.50765</v>
      </c>
      <c r="I44" s="166"/>
      <c r="J44" s="167">
        <f>J38+J41</f>
        <v>2947.6374999999998</v>
      </c>
      <c r="L44" s="166"/>
      <c r="M44" s="167">
        <f>M38+M41</f>
        <v>1292.7889</v>
      </c>
      <c r="O44" s="166"/>
      <c r="P44" s="167">
        <f>P38+P41</f>
        <v>1860</v>
      </c>
      <c r="Q44" s="115"/>
      <c r="R44" s="166"/>
      <c r="S44" s="167">
        <f>S38+S41</f>
        <v>1959.6000000000001</v>
      </c>
      <c r="U44" s="166"/>
      <c r="V44" s="167">
        <f>V38+V41</f>
        <v>1362.9252777777776</v>
      </c>
    </row>
    <row r="45" spans="1:45" s="60" customFormat="1" ht="6" customHeight="1">
      <c r="A45" s="57"/>
      <c r="B45" s="57"/>
      <c r="C45" s="57"/>
      <c r="D45" s="57"/>
      <c r="E45" s="57"/>
      <c r="F45" s="164"/>
      <c r="G45" s="165"/>
      <c r="I45" s="164"/>
      <c r="J45" s="165"/>
      <c r="L45" s="164"/>
      <c r="M45" s="165"/>
      <c r="O45" s="164"/>
      <c r="P45" s="165"/>
      <c r="Q45" s="115"/>
      <c r="R45" s="164"/>
      <c r="S45" s="165"/>
      <c r="U45" s="164"/>
      <c r="V45" s="165"/>
    </row>
    <row r="46" spans="1:45" s="60" customFormat="1" ht="19.5" customHeight="1">
      <c r="A46" s="57"/>
      <c r="B46" s="57"/>
      <c r="C46" s="57"/>
      <c r="D46" s="57"/>
      <c r="E46" s="57"/>
      <c r="F46" s="246" t="s">
        <v>84</v>
      </c>
      <c r="G46" s="247"/>
      <c r="I46" s="246" t="s">
        <v>84</v>
      </c>
      <c r="J46" s="247"/>
      <c r="L46" s="246" t="s">
        <v>84</v>
      </c>
      <c r="M46" s="247"/>
      <c r="O46" s="246" t="s">
        <v>84</v>
      </c>
      <c r="P46" s="247"/>
      <c r="Q46" s="115"/>
      <c r="R46" s="246" t="s">
        <v>84</v>
      </c>
      <c r="S46" s="247"/>
      <c r="U46" s="246" t="s">
        <v>84</v>
      </c>
      <c r="V46" s="247"/>
    </row>
    <row r="47" spans="1:45" s="117" customFormat="1" ht="19.5" customHeight="1" thickBot="1">
      <c r="A47" s="116"/>
      <c r="B47" s="116"/>
      <c r="C47" s="116"/>
      <c r="D47" s="116"/>
      <c r="E47" s="116"/>
      <c r="F47" s="168"/>
      <c r="G47" s="169">
        <f>G44/SUM($I$6,$I$4)</f>
        <v>0.16570897083333333</v>
      </c>
      <c r="I47" s="168"/>
      <c r="J47" s="169">
        <f>J44/SUM($I$6,$I$4)</f>
        <v>0.24563645833333331</v>
      </c>
      <c r="L47" s="168"/>
      <c r="M47" s="169">
        <f>M44/SUM($I$6,$I$4)</f>
        <v>0.10773240833333333</v>
      </c>
      <c r="O47" s="168"/>
      <c r="P47" s="169">
        <f>P44/SUM($I$6,$I$4)</f>
        <v>0.155</v>
      </c>
      <c r="Q47" s="118"/>
      <c r="R47" s="168"/>
      <c r="S47" s="169">
        <f>S44/SUM($I$6,$I$4)</f>
        <v>0.1633</v>
      </c>
      <c r="U47" s="168"/>
      <c r="V47" s="169">
        <f>V44/SUM($I$6,$I$4)</f>
        <v>0.11357710648148146</v>
      </c>
    </row>
    <row r="48" spans="1:45" s="60" customFormat="1" ht="19.5" customHeight="1">
      <c r="A48" s="57"/>
      <c r="B48" s="57"/>
      <c r="C48" s="57"/>
      <c r="D48" s="57"/>
      <c r="E48" s="57"/>
      <c r="L48" s="115"/>
      <c r="M48" s="115"/>
      <c r="O48" s="115"/>
      <c r="P48" s="115"/>
      <c r="Q48" s="115"/>
      <c r="R48" s="115"/>
      <c r="S48" s="115"/>
    </row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hidden="1" customHeight="1"/>
    <row r="57" ht="19.5" hidden="1" customHeight="1"/>
    <row r="58" ht="19.5" hidden="1" customHeight="1"/>
    <row r="59" ht="19.5" hidden="1" customHeight="1"/>
    <row r="60" ht="19.5" hidden="1" customHeight="1"/>
    <row r="61" ht="19.5" hidden="1" customHeight="1"/>
  </sheetData>
  <dataConsolidate/>
  <mergeCells count="37">
    <mergeCell ref="B11:C14"/>
    <mergeCell ref="P4:Q4"/>
    <mergeCell ref="O16:P17"/>
    <mergeCell ref="F16:G17"/>
    <mergeCell ref="F11:J12"/>
    <mergeCell ref="P6:Q6"/>
    <mergeCell ref="F46:G46"/>
    <mergeCell ref="I37:J37"/>
    <mergeCell ref="I40:J40"/>
    <mergeCell ref="I43:J43"/>
    <mergeCell ref="I46:J46"/>
    <mergeCell ref="L46:M46"/>
    <mergeCell ref="O37:P37"/>
    <mergeCell ref="O40:P40"/>
    <mergeCell ref="O43:P43"/>
    <mergeCell ref="O46:P46"/>
    <mergeCell ref="R46:S46"/>
    <mergeCell ref="U37:V37"/>
    <mergeCell ref="U40:V40"/>
    <mergeCell ref="U43:V43"/>
    <mergeCell ref="U46:V46"/>
    <mergeCell ref="A1:V2"/>
    <mergeCell ref="R37:S37"/>
    <mergeCell ref="R40:S40"/>
    <mergeCell ref="R43:S43"/>
    <mergeCell ref="L37:M37"/>
    <mergeCell ref="L40:M40"/>
    <mergeCell ref="L43:M43"/>
    <mergeCell ref="F37:G37"/>
    <mergeCell ref="F40:G40"/>
    <mergeCell ref="F43:G43"/>
    <mergeCell ref="U16:V17"/>
    <mergeCell ref="L11:V12"/>
    <mergeCell ref="L16:M17"/>
    <mergeCell ref="R16:S17"/>
    <mergeCell ref="I16:J17"/>
    <mergeCell ref="L14:M14"/>
  </mergeCells>
  <phoneticPr fontId="13" type="noConversion"/>
  <dataValidations disablePrompts="1" count="1">
    <dataValidation type="list" allowBlank="1" showInputMessage="1" showErrorMessage="1" sqref="R9" xr:uid="{00000000-0002-0000-0500-000000000000}">
      <formula1>"SIM,NÃ0"</formula1>
    </dataValidation>
  </dataValidations>
  <pageMargins left="0.25" right="0.25" top="0.75" bottom="0.75" header="0.3" footer="0.3"/>
  <pageSetup paperSize="9" scale="63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37"/>
  <sheetViews>
    <sheetView showGridLines="0" topLeftCell="A16" zoomScale="80" zoomScaleNormal="80" workbookViewId="0">
      <selection activeCell="Q34" sqref="Q34"/>
    </sheetView>
  </sheetViews>
  <sheetFormatPr defaultColWidth="0" defaultRowHeight="15"/>
  <cols>
    <col min="1" max="1" width="3.28515625" customWidth="1"/>
    <col min="2" max="3" width="17.140625" customWidth="1"/>
    <col min="4" max="4" width="3.140625" customWidth="1"/>
    <col min="5" max="6" width="17.140625" customWidth="1"/>
    <col min="7" max="7" width="3.140625" customWidth="1"/>
    <col min="8" max="8" width="21.42578125" customWidth="1"/>
    <col min="9" max="9" width="17.140625" customWidth="1"/>
    <col min="10" max="10" width="3.140625" customWidth="1"/>
    <col min="11" max="11" width="21.42578125" customWidth="1"/>
    <col min="12" max="12" width="17.140625" customWidth="1"/>
    <col min="13" max="13" width="3.140625" customWidth="1"/>
    <col min="14" max="14" width="21.42578125" customWidth="1"/>
    <col min="15" max="15" width="17.140625" customWidth="1"/>
    <col min="16" max="16" width="3.140625" customWidth="1"/>
    <col min="17" max="17" width="21.42578125" customWidth="1"/>
    <col min="18" max="18" width="17.140625" customWidth="1"/>
    <col min="19" max="19" width="6.7109375" style="53" hidden="1" customWidth="1"/>
    <col min="20" max="21" width="0" style="53" hidden="1" customWidth="1"/>
    <col min="22" max="26" width="0" hidden="1" customWidth="1"/>
    <col min="27" max="16384" width="9.140625" hidden="1"/>
  </cols>
  <sheetData>
    <row r="1" spans="1:24" s="57" customFormat="1" ht="39" customHeight="1">
      <c r="A1" s="284" t="s">
        <v>121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129"/>
      <c r="T1" s="129"/>
      <c r="U1" s="59"/>
    </row>
    <row r="2" spans="1:24" s="57" customFormat="1" ht="39" customHeight="1">
      <c r="A2" s="285"/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129"/>
      <c r="T2" s="129"/>
      <c r="U2" s="59"/>
    </row>
    <row r="3" spans="1:24" s="178" customFormat="1" ht="18.75" customHeight="1"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</row>
    <row r="4" spans="1:24" s="182" customFormat="1" ht="30.75" customHeight="1">
      <c r="A4" s="180"/>
      <c r="B4" s="180"/>
      <c r="C4" s="321" t="s">
        <v>96</v>
      </c>
      <c r="D4" s="321"/>
      <c r="E4" s="321"/>
      <c r="F4" s="321"/>
      <c r="G4" s="181"/>
      <c r="H4" s="303" t="s">
        <v>78</v>
      </c>
      <c r="I4" s="303"/>
      <c r="J4" s="303"/>
      <c r="K4" s="303"/>
      <c r="L4" s="303"/>
      <c r="M4" s="181"/>
      <c r="N4" s="320" t="s">
        <v>105</v>
      </c>
      <c r="O4" s="320"/>
      <c r="P4" s="320"/>
      <c r="Q4" s="320"/>
      <c r="R4" s="180"/>
      <c r="S4" s="180"/>
    </row>
    <row r="5" spans="1:24" s="185" customFormat="1" ht="36.75" customHeight="1">
      <c r="A5" s="183"/>
      <c r="B5" s="183"/>
      <c r="C5" s="304">
        <v>12000</v>
      </c>
      <c r="D5" s="304"/>
      <c r="E5" s="304"/>
      <c r="F5" s="304"/>
      <c r="G5" s="184"/>
      <c r="H5" s="304">
        <f>CALCULADORA!I6+CALCULADORA!I8</f>
        <v>5000</v>
      </c>
      <c r="I5" s="304"/>
      <c r="J5" s="304"/>
      <c r="K5" s="304"/>
      <c r="L5" s="304"/>
      <c r="M5" s="184"/>
      <c r="N5" s="304">
        <f>CALCULADORA!M4+CALCULADORA!M6+CALCULADORA!M8</f>
        <v>3809.4</v>
      </c>
      <c r="O5" s="304"/>
      <c r="P5" s="304"/>
      <c r="Q5" s="304"/>
      <c r="R5" s="183"/>
      <c r="S5" s="183"/>
      <c r="U5" s="186"/>
    </row>
    <row r="6" spans="1:24" s="182" customFormat="1" ht="18.75" customHeight="1">
      <c r="A6" s="187"/>
      <c r="B6" s="187"/>
      <c r="C6" s="188"/>
      <c r="D6" s="188"/>
      <c r="E6" s="188"/>
      <c r="F6" s="188"/>
      <c r="G6" s="188"/>
      <c r="H6" s="189"/>
      <c r="I6" s="189"/>
      <c r="J6" s="189"/>
      <c r="K6" s="189"/>
      <c r="L6" s="189"/>
      <c r="M6" s="188"/>
      <c r="N6" s="190"/>
      <c r="O6" s="190"/>
      <c r="P6" s="190"/>
      <c r="Q6" s="190"/>
      <c r="R6" s="191"/>
      <c r="S6" s="191"/>
    </row>
    <row r="7" spans="1:24" s="57" customFormat="1" ht="19.5" customHeight="1" thickBot="1">
      <c r="J7" s="60"/>
      <c r="P7" s="58"/>
      <c r="Q7" s="58"/>
      <c r="R7" s="58"/>
      <c r="S7" s="58"/>
    </row>
    <row r="8" spans="1:24" ht="15" customHeight="1">
      <c r="B8" s="294" t="s">
        <v>122</v>
      </c>
      <c r="C8" s="295"/>
      <c r="D8" s="295"/>
      <c r="E8" s="295"/>
      <c r="F8" s="296"/>
      <c r="H8" s="328" t="s">
        <v>97</v>
      </c>
      <c r="I8" s="329"/>
      <c r="J8" s="329"/>
      <c r="K8" s="329"/>
      <c r="L8" s="329"/>
      <c r="M8" s="329"/>
      <c r="N8" s="329"/>
      <c r="O8" s="329"/>
      <c r="P8" s="329"/>
      <c r="Q8" s="329"/>
      <c r="R8" s="330"/>
      <c r="S8" s="132"/>
    </row>
    <row r="9" spans="1:24" ht="15" customHeight="1">
      <c r="B9" s="297"/>
      <c r="C9" s="298"/>
      <c r="D9" s="298"/>
      <c r="E9" s="298"/>
      <c r="F9" s="299"/>
      <c r="H9" s="331"/>
      <c r="I9" s="332"/>
      <c r="J9" s="332"/>
      <c r="K9" s="332"/>
      <c r="L9" s="332"/>
      <c r="M9" s="332"/>
      <c r="N9" s="332"/>
      <c r="O9" s="332"/>
      <c r="P9" s="332"/>
      <c r="Q9" s="332"/>
      <c r="R9" s="333"/>
      <c r="S9" s="132"/>
    </row>
    <row r="10" spans="1:24" ht="15.75" customHeight="1" thickBot="1">
      <c r="B10" s="300"/>
      <c r="C10" s="301"/>
      <c r="D10" s="301"/>
      <c r="E10" s="301"/>
      <c r="F10" s="302"/>
      <c r="H10" s="334"/>
      <c r="I10" s="335"/>
      <c r="J10" s="335"/>
      <c r="K10" s="335"/>
      <c r="L10" s="335"/>
      <c r="M10" s="335"/>
      <c r="N10" s="335"/>
      <c r="O10" s="335"/>
      <c r="P10" s="335"/>
      <c r="Q10" s="335"/>
      <c r="R10" s="336"/>
      <c r="S10" s="132"/>
    </row>
    <row r="11" spans="1:24" ht="15.75" thickBot="1"/>
    <row r="12" spans="1:24" s="135" customFormat="1" ht="22.5" customHeight="1">
      <c r="B12" s="337" t="s">
        <v>72</v>
      </c>
      <c r="C12" s="312"/>
      <c r="D12" s="136"/>
      <c r="E12" s="311" t="s">
        <v>70</v>
      </c>
      <c r="F12" s="315"/>
      <c r="G12" s="136"/>
      <c r="H12" s="311" t="s">
        <v>69</v>
      </c>
      <c r="I12" s="315"/>
      <c r="J12" s="136"/>
      <c r="K12" s="311" t="s">
        <v>68</v>
      </c>
      <c r="L12" s="312"/>
      <c r="M12" s="133"/>
      <c r="N12" s="311" t="s">
        <v>104</v>
      </c>
      <c r="O12" s="312"/>
      <c r="P12" s="136"/>
      <c r="Q12" s="311" t="s">
        <v>89</v>
      </c>
      <c r="R12" s="312"/>
      <c r="S12" s="137"/>
      <c r="T12" s="137"/>
      <c r="U12" s="137"/>
    </row>
    <row r="13" spans="1:24" s="135" customFormat="1" ht="22.5" customHeight="1" thickBot="1">
      <c r="B13" s="313"/>
      <c r="C13" s="314"/>
      <c r="D13" s="136"/>
      <c r="E13" s="316"/>
      <c r="F13" s="317"/>
      <c r="G13" s="136"/>
      <c r="H13" s="316"/>
      <c r="I13" s="317"/>
      <c r="J13" s="136"/>
      <c r="K13" s="313"/>
      <c r="L13" s="314"/>
      <c r="M13" s="133"/>
      <c r="N13" s="313"/>
      <c r="O13" s="314"/>
      <c r="P13" s="136"/>
      <c r="Q13" s="313"/>
      <c r="R13" s="314"/>
      <c r="S13" s="137"/>
      <c r="T13" s="137"/>
      <c r="U13" s="137"/>
    </row>
    <row r="16" spans="1:24" s="140" customFormat="1" ht="23.25">
      <c r="B16" s="273" t="s">
        <v>103</v>
      </c>
      <c r="C16" s="274"/>
      <c r="E16" s="273" t="s">
        <v>106</v>
      </c>
      <c r="F16" s="274"/>
      <c r="H16" s="273" t="s">
        <v>98</v>
      </c>
      <c r="I16" s="274"/>
      <c r="J16" s="141"/>
      <c r="K16" s="273" t="s">
        <v>98</v>
      </c>
      <c r="L16" s="274"/>
      <c r="M16" s="141"/>
      <c r="N16" s="273" t="s">
        <v>101</v>
      </c>
      <c r="O16" s="274"/>
      <c r="P16" s="141"/>
      <c r="Q16" s="273" t="s">
        <v>101</v>
      </c>
      <c r="R16" s="274"/>
      <c r="S16" s="141"/>
      <c r="T16" s="141"/>
      <c r="U16" s="141"/>
    </row>
    <row r="17" spans="2:21" s="124" customFormat="1" ht="23.25">
      <c r="B17" s="305">
        <f>CALCULADORA!G25</f>
        <v>701.79365000000018</v>
      </c>
      <c r="C17" s="306"/>
      <c r="E17" s="305">
        <v>0</v>
      </c>
      <c r="F17" s="306"/>
      <c r="H17" s="305">
        <f>CALCULADORA!M25</f>
        <v>720</v>
      </c>
      <c r="I17" s="306"/>
      <c r="J17" s="125"/>
      <c r="K17" s="305">
        <f>CALCULADORA!P25</f>
        <v>1860</v>
      </c>
      <c r="L17" s="306"/>
      <c r="M17" s="125"/>
      <c r="N17" s="305">
        <f>CALCULADORA!S25</f>
        <v>1959.6000000000001</v>
      </c>
      <c r="O17" s="306"/>
      <c r="P17" s="125"/>
      <c r="Q17" s="305">
        <f>CALCULADORA!V25</f>
        <v>1362.9252777777776</v>
      </c>
      <c r="R17" s="306"/>
      <c r="S17" s="125"/>
      <c r="T17" s="125"/>
      <c r="U17" s="125"/>
    </row>
    <row r="18" spans="2:21">
      <c r="B18" s="53"/>
      <c r="C18" s="53"/>
      <c r="E18" s="53"/>
      <c r="F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</row>
    <row r="19" spans="2:21" s="140" customFormat="1" ht="23.25">
      <c r="B19" s="273" t="s">
        <v>99</v>
      </c>
      <c r="C19" s="274"/>
      <c r="E19" s="273" t="s">
        <v>107</v>
      </c>
      <c r="F19" s="274"/>
      <c r="H19" s="273" t="s">
        <v>99</v>
      </c>
      <c r="I19" s="274"/>
      <c r="J19" s="141"/>
      <c r="K19" s="273" t="s">
        <v>99</v>
      </c>
      <c r="L19" s="274"/>
      <c r="M19" s="141"/>
      <c r="N19" s="273" t="s">
        <v>99</v>
      </c>
      <c r="O19" s="274"/>
      <c r="P19" s="141"/>
      <c r="Q19" s="273" t="s">
        <v>99</v>
      </c>
      <c r="R19" s="274"/>
      <c r="S19" s="141"/>
      <c r="T19" s="141"/>
      <c r="U19" s="141"/>
    </row>
    <row r="20" spans="2:21" s="123" customFormat="1" ht="21">
      <c r="B20" s="307">
        <f>CALCULADORA!G32</f>
        <v>1286.7139999999999</v>
      </c>
      <c r="C20" s="308"/>
      <c r="D20" s="198"/>
      <c r="E20" s="326" t="str">
        <f>CALCULADORA!J27</f>
        <v>713,10</v>
      </c>
      <c r="F20" s="327"/>
      <c r="G20" s="198"/>
      <c r="H20" s="307">
        <f>SUM(CALCULADORA!M27:M28)</f>
        <v>419.03399999999999</v>
      </c>
      <c r="I20" s="308"/>
      <c r="J20" s="199"/>
      <c r="K20" s="307">
        <f>SUM(CALCULADORA!P27:P28)</f>
        <v>0</v>
      </c>
      <c r="L20" s="308"/>
      <c r="M20" s="199"/>
      <c r="N20" s="307">
        <f>SUM(CALCULADORA!S27:S28)</f>
        <v>0</v>
      </c>
      <c r="O20" s="308"/>
      <c r="P20" s="199"/>
      <c r="Q20" s="307">
        <f>SUM(CALCULADORA!V27:V28)</f>
        <v>0</v>
      </c>
      <c r="R20" s="308"/>
      <c r="S20" s="134"/>
      <c r="T20" s="126"/>
      <c r="U20" s="126"/>
    </row>
    <row r="21" spans="2:21">
      <c r="B21" s="53"/>
      <c r="C21" s="53"/>
      <c r="E21" s="53"/>
      <c r="F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</row>
    <row r="22" spans="2:21" s="140" customFormat="1" ht="23.25">
      <c r="B22" s="273" t="s">
        <v>100</v>
      </c>
      <c r="C22" s="274"/>
      <c r="E22" s="273" t="s">
        <v>108</v>
      </c>
      <c r="F22" s="274"/>
      <c r="H22" s="273" t="s">
        <v>100</v>
      </c>
      <c r="I22" s="274"/>
      <c r="J22" s="141"/>
      <c r="K22" s="273" t="s">
        <v>100</v>
      </c>
      <c r="L22" s="274"/>
      <c r="M22" s="141"/>
      <c r="N22" s="273" t="s">
        <v>100</v>
      </c>
      <c r="O22" s="274"/>
      <c r="P22" s="141"/>
      <c r="Q22" s="273" t="s">
        <v>100</v>
      </c>
      <c r="R22" s="274"/>
      <c r="S22" s="141"/>
      <c r="T22" s="141"/>
      <c r="U22" s="141"/>
    </row>
    <row r="23" spans="2:21" s="123" customFormat="1" ht="21">
      <c r="B23" s="282">
        <v>0</v>
      </c>
      <c r="C23" s="283"/>
      <c r="D23" s="198"/>
      <c r="E23" s="282">
        <f>CALCULADORA!J32</f>
        <v>2234.5374999999999</v>
      </c>
      <c r="F23" s="283"/>
      <c r="G23" s="198"/>
      <c r="H23" s="282">
        <f>SUM(CALCULADORA!M32)</f>
        <v>153.75489999999996</v>
      </c>
      <c r="I23" s="283"/>
      <c r="J23" s="200"/>
      <c r="K23" s="282">
        <f>CALCULADORA!P32</f>
        <v>0</v>
      </c>
      <c r="L23" s="283"/>
      <c r="M23" s="200"/>
      <c r="N23" s="282">
        <f>CALCULADORA!S32</f>
        <v>0</v>
      </c>
      <c r="O23" s="283"/>
      <c r="P23" s="200"/>
      <c r="Q23" s="282">
        <f>CALCULADORA!V32</f>
        <v>0</v>
      </c>
      <c r="R23" s="283"/>
      <c r="S23" s="126"/>
      <c r="T23" s="126"/>
      <c r="U23" s="126"/>
    </row>
    <row r="24" spans="2:21">
      <c r="B24" s="53"/>
      <c r="C24" s="53"/>
      <c r="E24" s="53"/>
      <c r="F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</row>
    <row r="25" spans="2:21">
      <c r="B25" s="53"/>
      <c r="C25" s="53"/>
      <c r="E25" s="53"/>
      <c r="F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</row>
    <row r="26" spans="2:21" s="142" customFormat="1" ht="23.25">
      <c r="B26" s="277" t="s">
        <v>109</v>
      </c>
      <c r="C26" s="278"/>
      <c r="E26" s="277" t="s">
        <v>109</v>
      </c>
      <c r="F26" s="278"/>
      <c r="H26" s="279" t="s">
        <v>109</v>
      </c>
      <c r="I26" s="279"/>
      <c r="K26" s="277" t="s">
        <v>109</v>
      </c>
      <c r="L26" s="278"/>
      <c r="N26" s="277" t="s">
        <v>109</v>
      </c>
      <c r="O26" s="278"/>
      <c r="Q26" s="277" t="s">
        <v>109</v>
      </c>
      <c r="R26" s="278"/>
      <c r="S26" s="143"/>
      <c r="T26" s="143"/>
      <c r="U26" s="143"/>
    </row>
    <row r="27" spans="2:21" s="127" customFormat="1" ht="23.25">
      <c r="B27" s="309">
        <f>B17+B20+B23</f>
        <v>1988.50765</v>
      </c>
      <c r="C27" s="310"/>
      <c r="E27" s="324">
        <f>E17+E20+E23</f>
        <v>2947.6374999999998</v>
      </c>
      <c r="F27" s="325"/>
      <c r="H27" s="318">
        <f>H17+H20+H23</f>
        <v>1292.7889</v>
      </c>
      <c r="I27" s="319"/>
      <c r="K27" s="324">
        <f>K17+K20+K23</f>
        <v>1860</v>
      </c>
      <c r="L27" s="325"/>
      <c r="N27" s="322">
        <f>N17+N20+N23</f>
        <v>1959.6000000000001</v>
      </c>
      <c r="O27" s="323"/>
      <c r="Q27" s="324">
        <f>Q17+Q20+Q23</f>
        <v>1362.9252777777776</v>
      </c>
      <c r="R27" s="325"/>
      <c r="S27" s="130"/>
      <c r="T27" s="130"/>
      <c r="U27" s="130"/>
    </row>
    <row r="28" spans="2:21" s="160" customFormat="1" ht="20.25" customHeight="1">
      <c r="B28" s="192" t="s">
        <v>112</v>
      </c>
      <c r="C28" s="193">
        <f>B17/C5</f>
        <v>5.848280416666668E-2</v>
      </c>
      <c r="E28" s="196" t="s">
        <v>112</v>
      </c>
      <c r="F28" s="197">
        <f>E23/C5</f>
        <v>0.18621145833333333</v>
      </c>
      <c r="H28" s="196" t="s">
        <v>114</v>
      </c>
      <c r="I28" s="197"/>
      <c r="K28" s="196" t="s">
        <v>114</v>
      </c>
      <c r="L28" s="197">
        <f>K17/C5</f>
        <v>0.155</v>
      </c>
      <c r="N28" s="196" t="s">
        <v>118</v>
      </c>
      <c r="O28" s="197">
        <f>N17/C5</f>
        <v>0.1633</v>
      </c>
      <c r="Q28" s="196" t="s">
        <v>118</v>
      </c>
      <c r="R28" s="197">
        <f>Q17/C5</f>
        <v>0.11357710648148146</v>
      </c>
      <c r="S28" s="161"/>
      <c r="T28" s="161"/>
      <c r="U28" s="161"/>
    </row>
    <row r="29" spans="2:21" s="160" customFormat="1" ht="24" customHeight="1">
      <c r="B29" s="194" t="s">
        <v>113</v>
      </c>
      <c r="C29" s="195">
        <f>B20/C5</f>
        <v>0.10722616666666666</v>
      </c>
      <c r="E29" s="196" t="s">
        <v>113</v>
      </c>
      <c r="F29" s="197">
        <f>E20/C5</f>
        <v>5.9424999999999999E-2</v>
      </c>
      <c r="H29" s="196" t="s">
        <v>115</v>
      </c>
      <c r="I29" s="197">
        <f>(H23+H20)/$C$5</f>
        <v>4.7732408333333337E-2</v>
      </c>
      <c r="K29" s="196" t="s">
        <v>115</v>
      </c>
      <c r="L29" s="197">
        <f>(K23+K20)/$C$5</f>
        <v>0</v>
      </c>
      <c r="N29" s="196" t="s">
        <v>115</v>
      </c>
      <c r="O29" s="197">
        <f>(N23+N20)/$C$5</f>
        <v>0</v>
      </c>
      <c r="Q29" s="196" t="s">
        <v>115</v>
      </c>
      <c r="R29" s="197">
        <f>(Q23+Q20)/$C$5</f>
        <v>0</v>
      </c>
      <c r="S29" s="161"/>
      <c r="T29" s="161"/>
      <c r="U29" s="161"/>
    </row>
    <row r="30" spans="2:21" s="138" customFormat="1" ht="21">
      <c r="B30" s="203" t="s">
        <v>102</v>
      </c>
      <c r="C30" s="204"/>
      <c r="E30" s="201" t="s">
        <v>102</v>
      </c>
      <c r="F30" s="202"/>
      <c r="H30" s="275" t="s">
        <v>102</v>
      </c>
      <c r="I30" s="276"/>
      <c r="K30" s="275" t="s">
        <v>102</v>
      </c>
      <c r="L30" s="276"/>
      <c r="N30" s="275" t="s">
        <v>102</v>
      </c>
      <c r="O30" s="276"/>
      <c r="Q30" s="275" t="s">
        <v>102</v>
      </c>
      <c r="R30" s="276"/>
      <c r="S30" s="139"/>
      <c r="T30" s="139"/>
      <c r="U30" s="139"/>
    </row>
    <row r="31" spans="2:21" s="128" customFormat="1" ht="21">
      <c r="B31" s="280">
        <f>B27/C5</f>
        <v>0.16570897083333333</v>
      </c>
      <c r="C31" s="281"/>
      <c r="E31" s="292">
        <f>E27/C5</f>
        <v>0.24563645833333331</v>
      </c>
      <c r="F31" s="293"/>
      <c r="H31" s="280">
        <f>H27/C5</f>
        <v>0.10773240833333333</v>
      </c>
      <c r="I31" s="281"/>
      <c r="K31" s="280">
        <f>K27/C5</f>
        <v>0.155</v>
      </c>
      <c r="L31" s="281"/>
      <c r="N31" s="280">
        <f>N27/C5</f>
        <v>0.1633</v>
      </c>
      <c r="O31" s="281"/>
      <c r="Q31" s="280">
        <f>Q27/C5</f>
        <v>0.11357710648148146</v>
      </c>
      <c r="R31" s="281"/>
      <c r="S31" s="131"/>
      <c r="T31" s="131"/>
      <c r="U31" s="131"/>
    </row>
    <row r="32" spans="2:21">
      <c r="H32" s="122"/>
      <c r="I32" s="121"/>
      <c r="K32" s="53"/>
      <c r="L32" s="53"/>
      <c r="Q32" s="53"/>
      <c r="R32" s="53"/>
    </row>
    <row r="33" spans="8:9" ht="15" customHeight="1">
      <c r="H33" s="286" t="str">
        <f>CALCULADORA!L14</f>
        <v>VOCÊ ATINGIU O FATOR R, POR ISSO PODERÁ SER ENQUADRADO NO ANEXO 3 TAMBÉM</v>
      </c>
      <c r="I33" s="287"/>
    </row>
    <row r="34" spans="8:9">
      <c r="H34" s="288"/>
      <c r="I34" s="289"/>
    </row>
    <row r="35" spans="8:9">
      <c r="H35" s="288"/>
      <c r="I35" s="289"/>
    </row>
    <row r="36" spans="8:9">
      <c r="H36" s="288"/>
      <c r="I36" s="289"/>
    </row>
    <row r="37" spans="8:9">
      <c r="H37" s="290"/>
      <c r="I37" s="291"/>
    </row>
  </sheetData>
  <mergeCells count="74">
    <mergeCell ref="N5:Q5"/>
    <mergeCell ref="H8:R10"/>
    <mergeCell ref="N23:O23"/>
    <mergeCell ref="B12:C13"/>
    <mergeCell ref="K12:L13"/>
    <mergeCell ref="N12:O13"/>
    <mergeCell ref="E12:F13"/>
    <mergeCell ref="H23:I23"/>
    <mergeCell ref="K23:L23"/>
    <mergeCell ref="N17:O17"/>
    <mergeCell ref="Q20:R20"/>
    <mergeCell ref="K20:L20"/>
    <mergeCell ref="H20:I20"/>
    <mergeCell ref="N20:O20"/>
    <mergeCell ref="N19:O19"/>
    <mergeCell ref="N16:O16"/>
    <mergeCell ref="H31:I31"/>
    <mergeCell ref="N4:Q4"/>
    <mergeCell ref="C4:F4"/>
    <mergeCell ref="C5:F5"/>
    <mergeCell ref="N27:O27"/>
    <mergeCell ref="N31:O31"/>
    <mergeCell ref="Q27:R27"/>
    <mergeCell ref="Q31:R31"/>
    <mergeCell ref="E17:F17"/>
    <mergeCell ref="E20:F20"/>
    <mergeCell ref="E23:F23"/>
    <mergeCell ref="E27:F27"/>
    <mergeCell ref="K27:L27"/>
    <mergeCell ref="H17:I17"/>
    <mergeCell ref="K17:L17"/>
    <mergeCell ref="Q17:R17"/>
    <mergeCell ref="K31:L31"/>
    <mergeCell ref="Q23:R23"/>
    <mergeCell ref="A1:R2"/>
    <mergeCell ref="H33:I37"/>
    <mergeCell ref="E31:F31"/>
    <mergeCell ref="B8:F10"/>
    <mergeCell ref="H4:L4"/>
    <mergeCell ref="H5:L5"/>
    <mergeCell ref="B17:C17"/>
    <mergeCell ref="B20:C20"/>
    <mergeCell ref="B23:C23"/>
    <mergeCell ref="B27:C27"/>
    <mergeCell ref="B31:C31"/>
    <mergeCell ref="Q12:R13"/>
    <mergeCell ref="H12:I13"/>
    <mergeCell ref="H27:I27"/>
    <mergeCell ref="B26:C26"/>
    <mergeCell ref="E26:F26"/>
    <mergeCell ref="H26:I26"/>
    <mergeCell ref="K26:L26"/>
    <mergeCell ref="N26:O26"/>
    <mergeCell ref="B16:C16"/>
    <mergeCell ref="B19:C19"/>
    <mergeCell ref="B22:C22"/>
    <mergeCell ref="E16:F16"/>
    <mergeCell ref="E19:F19"/>
    <mergeCell ref="E22:F22"/>
    <mergeCell ref="Q16:R16"/>
    <mergeCell ref="H30:I30"/>
    <mergeCell ref="K30:L30"/>
    <mergeCell ref="N30:O30"/>
    <mergeCell ref="Q30:R30"/>
    <mergeCell ref="Q26:R26"/>
    <mergeCell ref="H16:I16"/>
    <mergeCell ref="H19:I19"/>
    <mergeCell ref="H22:I22"/>
    <mergeCell ref="K16:L16"/>
    <mergeCell ref="K19:L19"/>
    <mergeCell ref="K22:L22"/>
    <mergeCell ref="N22:O22"/>
    <mergeCell ref="Q22:R22"/>
    <mergeCell ref="Q19:R19"/>
  </mergeCells>
  <pageMargins left="0.25" right="0.25" top="0.75" bottom="0.75" header="0.3" footer="0.3"/>
  <pageSetup paperSize="9" scale="59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ANEXO 3</vt:lpstr>
      <vt:lpstr>ANEXO 5</vt:lpstr>
      <vt:lpstr>Carnê Leão</vt:lpstr>
      <vt:lpstr>Lucro Presumido</vt:lpstr>
      <vt:lpstr>resumo</vt:lpstr>
      <vt:lpstr>CALCULADORA</vt:lpstr>
      <vt:lpstr>APRESENTACAO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pedro anderson</cp:lastModifiedBy>
  <cp:lastPrinted>2021-08-26T21:20:42Z</cp:lastPrinted>
  <dcterms:created xsi:type="dcterms:W3CDTF">2016-12-08T13:48:55Z</dcterms:created>
  <dcterms:modified xsi:type="dcterms:W3CDTF">2024-05-17T11:38:26Z</dcterms:modified>
</cp:coreProperties>
</file>